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56" windowWidth="18945" windowHeight="5865" activeTab="1"/>
  </bookViews>
  <sheets>
    <sheet name="Список" sheetId="1" r:id="rId1"/>
    <sheet name="1" sheetId="2" r:id="rId2"/>
    <sheet name="Курс доллара" sheetId="3" r:id="rId3"/>
  </sheets>
  <definedNames>
    <definedName name="EXTRACT" localSheetId="0">'Список'!#REF!</definedName>
  </definedNames>
  <calcPr fullCalcOnLoad="1"/>
</workbook>
</file>

<file path=xl/sharedStrings.xml><?xml version="1.0" encoding="utf-8"?>
<sst xmlns="http://schemas.openxmlformats.org/spreadsheetml/2006/main" count="1519" uniqueCount="154">
  <si>
    <t>Акрон</t>
  </si>
  <si>
    <t>АФК "Система"</t>
  </si>
  <si>
    <t>Аэрофлот</t>
  </si>
  <si>
    <t>Балтика</t>
  </si>
  <si>
    <t>Банк ВТБ Северо-Запад</t>
  </si>
  <si>
    <t>Башкирэнерго</t>
  </si>
  <si>
    <t>ВолгаТелеком</t>
  </si>
  <si>
    <t>ВСМПО-АВИСМА</t>
  </si>
  <si>
    <t>ВТБ</t>
  </si>
  <si>
    <t>Выксунский Металлургический Завод</t>
  </si>
  <si>
    <t>Газпром</t>
  </si>
  <si>
    <t>Газпром нефть</t>
  </si>
  <si>
    <t>ГМК НорНикель</t>
  </si>
  <si>
    <t>Дальсвязь</t>
  </si>
  <si>
    <t>Иркут</t>
  </si>
  <si>
    <t>Иркутскэнерго</t>
  </si>
  <si>
    <t>Казанский вертолетный завод</t>
  </si>
  <si>
    <t>Калина</t>
  </si>
  <si>
    <t>Красноярскэнергосбыт</t>
  </si>
  <si>
    <t>ЛУКОЙЛ</t>
  </si>
  <si>
    <t>Магнит</t>
  </si>
  <si>
    <t>МГТС</t>
  </si>
  <si>
    <t>Мечел</t>
  </si>
  <si>
    <t>ММК</t>
  </si>
  <si>
    <t>Мосэнерго</t>
  </si>
  <si>
    <t>МТС</t>
  </si>
  <si>
    <t>Нижегородская сбыт.комп</t>
  </si>
  <si>
    <t>Нижнекамскнефтехим</t>
  </si>
  <si>
    <t>НЛМК</t>
  </si>
  <si>
    <t>НМТП</t>
  </si>
  <si>
    <t>НОВАТЭК</t>
  </si>
  <si>
    <t>ОГК-6</t>
  </si>
  <si>
    <t>Пермэнергосбыт</t>
  </si>
  <si>
    <t>Полюс Золото</t>
  </si>
  <si>
    <t>Распадская</t>
  </si>
  <si>
    <t>Роснефть</t>
  </si>
  <si>
    <t>Ростелеком</t>
  </si>
  <si>
    <t>Сбербанк</t>
  </si>
  <si>
    <t>Северо-Западный Телеком</t>
  </si>
  <si>
    <t>Северский трубный завод</t>
  </si>
  <si>
    <t>Северсталь</t>
  </si>
  <si>
    <t>Сибирьтелеком</t>
  </si>
  <si>
    <t>Сильвинит</t>
  </si>
  <si>
    <t>Синарский трубный завод</t>
  </si>
  <si>
    <t>Соллерс</t>
  </si>
  <si>
    <t>Стойленский ГОК</t>
  </si>
  <si>
    <t>Сургутнефтегаз</t>
  </si>
  <si>
    <t>СУЭК-Красноярск</t>
  </si>
  <si>
    <t>Татнефть</t>
  </si>
  <si>
    <t>Таттелеком</t>
  </si>
  <si>
    <t>ТГК-1</t>
  </si>
  <si>
    <t>ТМК</t>
  </si>
  <si>
    <t>ТрансКредитБанк</t>
  </si>
  <si>
    <t>Улан-Удэнский авиазавод</t>
  </si>
  <si>
    <t>Уралкалий</t>
  </si>
  <si>
    <t>Уралсвязьинформ</t>
  </si>
  <si>
    <t>ФСК ЕЭС</t>
  </si>
  <si>
    <t>ЦентрТелеком</t>
  </si>
  <si>
    <t>ЮТК</t>
  </si>
  <si>
    <t>AKRN RM Equity</t>
  </si>
  <si>
    <t>AFKS RM Equity</t>
  </si>
  <si>
    <t>AFLT RM Equity</t>
  </si>
  <si>
    <t>PKBA RM Equity</t>
  </si>
  <si>
    <t>BEGY RM Equity</t>
  </si>
  <si>
    <t>VTEL RM Equity</t>
  </si>
  <si>
    <t>VSMO RM Equity</t>
  </si>
  <si>
    <t>VTBR RM Equity</t>
  </si>
  <si>
    <t>VSMZ RM Equity</t>
  </si>
  <si>
    <t>GAZP RM Equity</t>
  </si>
  <si>
    <t>SIBN RM Equity</t>
  </si>
  <si>
    <t>GMKN RM Equity</t>
  </si>
  <si>
    <t>DLSV RM Equity</t>
  </si>
  <si>
    <t>IRKT RM Equity</t>
  </si>
  <si>
    <t>IRGZ RM Equity</t>
  </si>
  <si>
    <t>KHEL RM Equity</t>
  </si>
  <si>
    <t>KLNA RM Equity</t>
  </si>
  <si>
    <t>KRSB RM Equity</t>
  </si>
  <si>
    <t>LKOH RM Equity</t>
  </si>
  <si>
    <t>MGNT RM Equity</t>
  </si>
  <si>
    <t>MGTS RM Equity</t>
  </si>
  <si>
    <t>MTLR RM Equity</t>
  </si>
  <si>
    <t>MAGN RM Equity</t>
  </si>
  <si>
    <t>MSNG RM Equity</t>
  </si>
  <si>
    <t>MTSS RM Equity</t>
  </si>
  <si>
    <t>NNSB RM Equity</t>
  </si>
  <si>
    <t>NKNC RM Equity</t>
  </si>
  <si>
    <t>NLMK RM Equity</t>
  </si>
  <si>
    <t>NMTP RM Equity</t>
  </si>
  <si>
    <t>NVTK RM Equity</t>
  </si>
  <si>
    <t>OGKF RM Equity</t>
  </si>
  <si>
    <t>PMSB RM Equity</t>
  </si>
  <si>
    <t>PLZL RM Equity</t>
  </si>
  <si>
    <t>RASP RM Equity</t>
  </si>
  <si>
    <t>ROSN RM Equity</t>
  </si>
  <si>
    <t>RTKM RM Equity</t>
  </si>
  <si>
    <t>SBER RM Equity</t>
  </si>
  <si>
    <t>SPTL RM Equity</t>
  </si>
  <si>
    <t>SVTZ RM Equity</t>
  </si>
  <si>
    <t>CHMF RM Equity</t>
  </si>
  <si>
    <t>SILV RM Equity</t>
  </si>
  <si>
    <t>SNTZ RM Equity</t>
  </si>
  <si>
    <t>SVAV RM Equity</t>
  </si>
  <si>
    <t>SGOK RM Equity</t>
  </si>
  <si>
    <t>SNGS RM Equity</t>
  </si>
  <si>
    <t>SKRN RM Equity</t>
  </si>
  <si>
    <t>TATN RM Equity</t>
  </si>
  <si>
    <t>TTLK RM Equity</t>
  </si>
  <si>
    <t>TGKA RM Equity</t>
  </si>
  <si>
    <t>TRMK RM Equity</t>
  </si>
  <si>
    <t>TCBN RM Equity</t>
  </si>
  <si>
    <t>UUAZ RM Equity</t>
  </si>
  <si>
    <t>URKA RM Equity</t>
  </si>
  <si>
    <t>URSI RM Equity</t>
  </si>
  <si>
    <t>FEES RM Equity</t>
  </si>
  <si>
    <t>ESMO RM Equity</t>
  </si>
  <si>
    <t>Ticker</t>
  </si>
  <si>
    <t>Year</t>
  </si>
  <si>
    <t>ROA</t>
  </si>
  <si>
    <t>PCBS RU Equity</t>
  </si>
  <si>
    <t>ENCO RU Equity</t>
  </si>
  <si>
    <t>в рублях</t>
  </si>
  <si>
    <t>KUBN RU Equity</t>
  </si>
  <si>
    <t/>
  </si>
  <si>
    <t>Суммарные обыкн. див.</t>
  </si>
  <si>
    <t>Суммарные. прив. див.</t>
  </si>
  <si>
    <t>Чистая приб. по РСБУ</t>
  </si>
  <si>
    <t>Чистая приб. по IFRS/GAAP</t>
  </si>
  <si>
    <t>Нераспределенная прибыль</t>
  </si>
  <si>
    <t>FCF</t>
  </si>
  <si>
    <t>Total assets</t>
  </si>
  <si>
    <t>Sales</t>
  </si>
  <si>
    <t>Total common equity</t>
  </si>
  <si>
    <t>Short and long term debt</t>
  </si>
  <si>
    <t>Tangible fixed assets</t>
  </si>
  <si>
    <t>в млн. рублей или в процентах</t>
  </si>
  <si>
    <t>Depreciation</t>
  </si>
  <si>
    <t>EBIT</t>
  </si>
  <si>
    <t>EBITDA</t>
  </si>
  <si>
    <t>Cash and Equivalents</t>
  </si>
  <si>
    <t>рсбу</t>
  </si>
  <si>
    <t>нет инфо</t>
  </si>
  <si>
    <t>Interest payable</t>
  </si>
  <si>
    <t>usd</t>
  </si>
  <si>
    <t>rub</t>
  </si>
  <si>
    <t>мсфо</t>
  </si>
  <si>
    <t>Currency</t>
  </si>
  <si>
    <t>В млн рублей или долларов, см. графу Currency</t>
  </si>
  <si>
    <t>Дата</t>
  </si>
  <si>
    <t>Год</t>
  </si>
  <si>
    <t>Курс 
USD-RUR</t>
  </si>
  <si>
    <t>Средний курс
 USD-RUR</t>
  </si>
  <si>
    <t>В млн рублей (пересчет показателей в долларах по курсам ЦБ)</t>
  </si>
  <si>
    <t>Financial Report standards</t>
  </si>
  <si>
    <t>Profit Margin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</si>
</sst>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0000000"/>
    <numFmt numFmtId="182" formatCode="#,##0.00000"/>
    <numFmt numFmtId="183" formatCode="0.0000%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_-* #,##0.000_р_._-;\-* #,##0.000_р_._-;_-* &quot;-&quot;???_р_._-;_-@_-"/>
  </numFmts>
  <fonts count="38">
    <font>
      <sz val="10"/>
      <name val="Arial"/>
      <family val="0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188" fontId="0" fillId="0" borderId="10" xfId="0" applyNumberFormat="1" applyBorder="1" applyAlignment="1">
      <alignment/>
    </xf>
    <xf numFmtId="188" fontId="0" fillId="0" borderId="10" xfId="0" applyNumberFormat="1" applyFill="1" applyBorder="1" applyAlignment="1">
      <alignment/>
    </xf>
    <xf numFmtId="188" fontId="0" fillId="34" borderId="10" xfId="0" applyNumberFormat="1" applyFill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80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0" fillId="0" borderId="10" xfId="0" applyFill="1" applyBorder="1" applyAlignment="1">
      <alignment/>
    </xf>
    <xf numFmtId="41" fontId="3" fillId="0" borderId="10" xfId="0" applyNumberFormat="1" applyFont="1" applyFill="1" applyBorder="1" applyAlignment="1">
      <alignment/>
    </xf>
    <xf numFmtId="10" fontId="0" fillId="0" borderId="10" xfId="0" applyNumberForma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B62"/>
  <sheetViews>
    <sheetView zoomScale="70" zoomScaleNormal="70" zoomScalePageLayoutView="0" workbookViewId="0" topLeftCell="A1">
      <selection activeCell="B17" sqref="B17"/>
    </sheetView>
  </sheetViews>
  <sheetFormatPr defaultColWidth="9.140625" defaultRowHeight="12.75"/>
  <cols>
    <col min="2" max="2" width="37.28125" style="0" customWidth="1"/>
  </cols>
  <sheetData>
    <row r="4" ht="12.75">
      <c r="B4" s="2" t="s">
        <v>0</v>
      </c>
    </row>
    <row r="5" ht="12.75">
      <c r="B5" s="2" t="s">
        <v>1</v>
      </c>
    </row>
    <row r="6" ht="12.75">
      <c r="B6" s="2" t="s">
        <v>2</v>
      </c>
    </row>
    <row r="7" ht="12.75">
      <c r="B7" s="2" t="s">
        <v>3</v>
      </c>
    </row>
    <row r="8" ht="12.75">
      <c r="B8" s="2" t="s">
        <v>4</v>
      </c>
    </row>
    <row r="9" ht="12.75">
      <c r="B9" s="2" t="s">
        <v>5</v>
      </c>
    </row>
    <row r="10" ht="12.75">
      <c r="B10" s="2" t="s">
        <v>6</v>
      </c>
    </row>
    <row r="11" ht="12.75">
      <c r="B11" s="2" t="s">
        <v>7</v>
      </c>
    </row>
    <row r="12" ht="12.75">
      <c r="B12" s="2" t="s">
        <v>8</v>
      </c>
    </row>
    <row r="13" ht="12.75">
      <c r="B13" s="2" t="s">
        <v>9</v>
      </c>
    </row>
    <row r="14" ht="12.75">
      <c r="B14" s="2" t="s">
        <v>10</v>
      </c>
    </row>
    <row r="15" ht="12.75">
      <c r="B15" s="2" t="s">
        <v>11</v>
      </c>
    </row>
    <row r="16" ht="12.75">
      <c r="B16" s="2" t="s">
        <v>12</v>
      </c>
    </row>
    <row r="17" ht="12.75">
      <c r="B17" s="2" t="s">
        <v>13</v>
      </c>
    </row>
    <row r="18" ht="12.75">
      <c r="B18" s="2" t="s">
        <v>14</v>
      </c>
    </row>
    <row r="19" ht="12.75">
      <c r="B19" s="2" t="s">
        <v>15</v>
      </c>
    </row>
    <row r="20" ht="12.75">
      <c r="B20" s="2" t="s">
        <v>16</v>
      </c>
    </row>
    <row r="21" ht="12.75">
      <c r="B21" s="2" t="s">
        <v>17</v>
      </c>
    </row>
    <row r="22" ht="12.75">
      <c r="B22" s="2" t="s">
        <v>18</v>
      </c>
    </row>
    <row r="23" ht="12.75">
      <c r="B23" s="2" t="s">
        <v>19</v>
      </c>
    </row>
    <row r="24" ht="12.75">
      <c r="B24" s="2" t="s">
        <v>20</v>
      </c>
    </row>
    <row r="25" ht="12.75">
      <c r="B25" s="2" t="s">
        <v>21</v>
      </c>
    </row>
    <row r="26" ht="12.75">
      <c r="B26" s="2" t="s">
        <v>22</v>
      </c>
    </row>
    <row r="27" ht="12.75">
      <c r="B27" s="2" t="s">
        <v>23</v>
      </c>
    </row>
    <row r="28" ht="12.75">
      <c r="B28" s="2" t="s">
        <v>24</v>
      </c>
    </row>
    <row r="29" ht="12.75">
      <c r="B29" s="2" t="s">
        <v>25</v>
      </c>
    </row>
    <row r="30" ht="12.75">
      <c r="B30" s="2" t="s">
        <v>26</v>
      </c>
    </row>
    <row r="31" ht="12.75">
      <c r="B31" s="2" t="s">
        <v>27</v>
      </c>
    </row>
    <row r="32" ht="12.75">
      <c r="B32" s="2" t="s">
        <v>28</v>
      </c>
    </row>
    <row r="33" ht="12.75">
      <c r="B33" s="2" t="s">
        <v>29</v>
      </c>
    </row>
    <row r="34" ht="12.75">
      <c r="B34" s="2" t="s">
        <v>30</v>
      </c>
    </row>
    <row r="35" ht="12.75">
      <c r="B35" s="2" t="s">
        <v>31</v>
      </c>
    </row>
    <row r="36" ht="12.75">
      <c r="B36" s="2" t="s">
        <v>32</v>
      </c>
    </row>
    <row r="37" ht="12.75">
      <c r="B37" s="2" t="s">
        <v>33</v>
      </c>
    </row>
    <row r="38" ht="12.75">
      <c r="B38" s="2" t="s">
        <v>34</v>
      </c>
    </row>
    <row r="39" ht="12.75">
      <c r="B39" s="2" t="s">
        <v>35</v>
      </c>
    </row>
    <row r="40" ht="12.75">
      <c r="B40" s="2" t="s">
        <v>36</v>
      </c>
    </row>
    <row r="41" ht="12.75">
      <c r="B41" s="2" t="s">
        <v>37</v>
      </c>
    </row>
    <row r="42" ht="12.75">
      <c r="B42" s="2" t="s">
        <v>38</v>
      </c>
    </row>
    <row r="43" ht="12.75">
      <c r="B43" s="2" t="s">
        <v>39</v>
      </c>
    </row>
    <row r="44" ht="12.75">
      <c r="B44" s="2" t="s">
        <v>40</v>
      </c>
    </row>
    <row r="45" ht="12.75">
      <c r="B45" s="2" t="s">
        <v>41</v>
      </c>
    </row>
    <row r="46" ht="12.75">
      <c r="B46" s="2" t="s">
        <v>42</v>
      </c>
    </row>
    <row r="47" ht="12.75">
      <c r="B47" s="2" t="s">
        <v>43</v>
      </c>
    </row>
    <row r="48" ht="12.75">
      <c r="B48" s="2" t="s">
        <v>44</v>
      </c>
    </row>
    <row r="49" ht="12.75">
      <c r="B49" s="2" t="s">
        <v>45</v>
      </c>
    </row>
    <row r="50" ht="12.75">
      <c r="B50" s="2" t="s">
        <v>46</v>
      </c>
    </row>
    <row r="51" ht="12.75">
      <c r="B51" s="2" t="s">
        <v>47</v>
      </c>
    </row>
    <row r="52" ht="12.75">
      <c r="B52" s="2" t="s">
        <v>48</v>
      </c>
    </row>
    <row r="53" ht="12.75">
      <c r="B53" s="2" t="s">
        <v>49</v>
      </c>
    </row>
    <row r="54" ht="12.75">
      <c r="B54" s="2" t="s">
        <v>50</v>
      </c>
    </row>
    <row r="55" ht="12.75">
      <c r="B55" s="2" t="s">
        <v>51</v>
      </c>
    </row>
    <row r="56" ht="12.75">
      <c r="B56" s="2" t="s">
        <v>52</v>
      </c>
    </row>
    <row r="57" ht="12.75">
      <c r="B57" s="2" t="s">
        <v>53</v>
      </c>
    </row>
    <row r="58" ht="12.75">
      <c r="B58" s="2" t="s">
        <v>54</v>
      </c>
    </row>
    <row r="59" ht="12.75">
      <c r="B59" s="2" t="s">
        <v>55</v>
      </c>
    </row>
    <row r="60" ht="12.75">
      <c r="B60" s="2" t="s">
        <v>56</v>
      </c>
    </row>
    <row r="61" ht="12.75">
      <c r="B61" s="2" t="s">
        <v>57</v>
      </c>
    </row>
    <row r="62" ht="12.75">
      <c r="B62" s="2" t="s">
        <v>58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38"/>
  <sheetViews>
    <sheetView tabSelected="1" zoomScale="70" zoomScaleNormal="70" zoomScalePageLayoutView="0" workbookViewId="0" topLeftCell="A1">
      <pane xSplit="4" topLeftCell="E1" activePane="topRight" state="frozen"/>
      <selection pane="topLeft" activeCell="A1" sqref="A1"/>
      <selection pane="topRight" activeCell="G8" sqref="G8"/>
    </sheetView>
  </sheetViews>
  <sheetFormatPr defaultColWidth="9.140625" defaultRowHeight="12.75"/>
  <cols>
    <col min="2" max="2" width="33.28125" style="0" customWidth="1"/>
    <col min="3" max="3" width="16.00390625" style="0" bestFit="1" customWidth="1"/>
    <col min="4" max="4" width="5.421875" style="0" bestFit="1" customWidth="1"/>
    <col min="5" max="5" width="15.00390625" style="0" customWidth="1"/>
    <col min="6" max="6" width="17.28125" style="0" customWidth="1"/>
    <col min="7" max="7" width="18.8515625" style="0" customWidth="1"/>
    <col min="8" max="8" width="24.28125" style="0" customWidth="1"/>
    <col min="9" max="9" width="18.57421875" style="0" bestFit="1" customWidth="1"/>
    <col min="10" max="10" width="10.140625" style="0" bestFit="1" customWidth="1"/>
    <col min="11" max="11" width="11.7109375" style="0" bestFit="1" customWidth="1"/>
    <col min="12" max="12" width="10.7109375" style="0" customWidth="1"/>
    <col min="13" max="13" width="19.7109375" style="0" bestFit="1" customWidth="1"/>
    <col min="14" max="14" width="11.8515625" style="0" customWidth="1"/>
    <col min="15" max="15" width="14.8515625" style="0" bestFit="1" customWidth="1"/>
    <col min="16" max="16" width="15.00390625" style="0" customWidth="1"/>
    <col min="17" max="17" width="20.00390625" style="0" bestFit="1" customWidth="1"/>
    <col min="18" max="18" width="14.421875" style="0" customWidth="1"/>
    <col min="19" max="19" width="16.7109375" style="0" customWidth="1"/>
    <col min="20" max="20" width="17.421875" style="0" customWidth="1"/>
    <col min="21" max="21" width="14.7109375" style="0" customWidth="1"/>
    <col min="22" max="22" width="15.7109375" style="0" customWidth="1"/>
    <col min="23" max="23" width="11.421875" style="0" customWidth="1"/>
    <col min="24" max="24" width="9.8515625" style="0" customWidth="1"/>
    <col min="25" max="25" width="16.28125" style="0" customWidth="1"/>
    <col min="26" max="26" width="16.57421875" style="0" customWidth="1"/>
    <col min="27" max="27" width="17.140625" style="0" customWidth="1"/>
    <col min="28" max="28" width="18.28125" style="0" customWidth="1"/>
    <col min="29" max="29" width="14.7109375" style="0" customWidth="1"/>
    <col min="30" max="30" width="11.57421875" style="0" customWidth="1"/>
  </cols>
  <sheetData>
    <row r="1" spans="2:31" ht="15.75">
      <c r="B1" s="6"/>
      <c r="E1" s="18" t="s">
        <v>120</v>
      </c>
      <c r="F1" s="19"/>
      <c r="G1" s="19"/>
      <c r="H1" s="20"/>
      <c r="I1" s="21" t="s">
        <v>134</v>
      </c>
      <c r="J1" s="22"/>
      <c r="K1" s="22"/>
      <c r="L1" s="22"/>
      <c r="M1" s="22"/>
      <c r="N1" s="22"/>
      <c r="O1" s="22"/>
      <c r="P1" s="22"/>
      <c r="Q1" s="23"/>
      <c r="R1" s="24" t="s">
        <v>146</v>
      </c>
      <c r="S1" s="25"/>
      <c r="T1" s="25"/>
      <c r="U1" s="25"/>
      <c r="V1" s="25"/>
      <c r="W1" s="25"/>
      <c r="X1" s="25"/>
      <c r="Y1" s="24" t="s">
        <v>151</v>
      </c>
      <c r="Z1" s="25"/>
      <c r="AA1" s="25"/>
      <c r="AB1" s="25"/>
      <c r="AC1" s="25"/>
      <c r="AD1" s="25"/>
      <c r="AE1" s="25"/>
    </row>
    <row r="2" spans="3:31" s="3" customFormat="1" ht="38.25">
      <c r="C2" s="4" t="s">
        <v>115</v>
      </c>
      <c r="D2" s="4" t="s">
        <v>116</v>
      </c>
      <c r="E2" s="5" t="s">
        <v>123</v>
      </c>
      <c r="F2" s="5" t="s">
        <v>124</v>
      </c>
      <c r="G2" s="5" t="s">
        <v>125</v>
      </c>
      <c r="H2" s="5" t="s">
        <v>126</v>
      </c>
      <c r="I2" s="4" t="s">
        <v>127</v>
      </c>
      <c r="J2" s="4" t="s">
        <v>128</v>
      </c>
      <c r="K2" s="4" t="s">
        <v>129</v>
      </c>
      <c r="L2" s="4" t="s">
        <v>130</v>
      </c>
      <c r="M2" s="4" t="s">
        <v>131</v>
      </c>
      <c r="N2" s="10" t="s">
        <v>153</v>
      </c>
      <c r="O2" s="4" t="s">
        <v>117</v>
      </c>
      <c r="P2" s="4" t="s">
        <v>132</v>
      </c>
      <c r="Q2" s="4" t="s">
        <v>133</v>
      </c>
      <c r="R2" s="4" t="s">
        <v>135</v>
      </c>
      <c r="S2" s="4" t="s">
        <v>136</v>
      </c>
      <c r="T2" s="4" t="s">
        <v>137</v>
      </c>
      <c r="U2" s="4" t="s">
        <v>138</v>
      </c>
      <c r="V2" s="4" t="s">
        <v>141</v>
      </c>
      <c r="W2" s="10" t="s">
        <v>152</v>
      </c>
      <c r="X2" s="4" t="s">
        <v>145</v>
      </c>
      <c r="Y2" s="4" t="s">
        <v>135</v>
      </c>
      <c r="Z2" s="4" t="s">
        <v>136</v>
      </c>
      <c r="AA2" s="4" t="s">
        <v>137</v>
      </c>
      <c r="AB2" s="4" t="s">
        <v>138</v>
      </c>
      <c r="AC2" s="4" t="s">
        <v>141</v>
      </c>
      <c r="AD2" s="10" t="s">
        <v>152</v>
      </c>
      <c r="AE2" s="4" t="s">
        <v>145</v>
      </c>
    </row>
    <row r="3" spans="1:31" ht="12.75">
      <c r="A3">
        <v>1</v>
      </c>
      <c r="B3" s="2" t="s">
        <v>0</v>
      </c>
      <c r="C3" s="1" t="s">
        <v>59</v>
      </c>
      <c r="D3" s="1">
        <v>2007</v>
      </c>
      <c r="E3" s="1">
        <v>3100000000</v>
      </c>
      <c r="F3" s="1" t="s">
        <v>122</v>
      </c>
      <c r="G3" s="1">
        <v>13222000000</v>
      </c>
      <c r="H3" s="1">
        <v>5668000000</v>
      </c>
      <c r="I3" s="1">
        <v>11247.092</v>
      </c>
      <c r="J3" s="1">
        <v>3299.124</v>
      </c>
      <c r="K3" s="1">
        <v>41567.77</v>
      </c>
      <c r="L3" s="1">
        <v>31105.18</v>
      </c>
      <c r="M3" s="1">
        <v>25461.22</v>
      </c>
      <c r="N3" s="17">
        <f>H3/L3/1000000</f>
        <v>0.18222045331356385</v>
      </c>
      <c r="O3" s="1">
        <v>14.50657</v>
      </c>
      <c r="P3" s="1">
        <v>5776.248</v>
      </c>
      <c r="Q3" s="15">
        <f>13726.062+147.414</f>
        <v>13873.476</v>
      </c>
      <c r="R3" s="7">
        <v>1009.58</v>
      </c>
      <c r="S3" s="7">
        <v>7526.217</v>
      </c>
      <c r="T3" s="7">
        <f>R3+S3</f>
        <v>8535.797</v>
      </c>
      <c r="U3" s="7">
        <v>1335.275</v>
      </c>
      <c r="V3" s="7">
        <v>509.582</v>
      </c>
      <c r="W3" s="4" t="s">
        <v>144</v>
      </c>
      <c r="X3" s="4" t="s">
        <v>143</v>
      </c>
      <c r="Y3" s="7">
        <f>IF(X3="rub",R3,R3*'Курс доллара'!$F$5)</f>
        <v>1009.58</v>
      </c>
      <c r="Z3" s="7">
        <f>IF(X3="rub",S3,S3*'Курс доллара'!$F$5)</f>
        <v>7526.217</v>
      </c>
      <c r="AA3" s="7">
        <f>IF(X3="rub",T3,T3*'Курс доллара'!$F$5)</f>
        <v>8535.797</v>
      </c>
      <c r="AB3" s="7">
        <f>IF(X3="rub",U3,U3*'Курс доллара'!$C$5)</f>
        <v>1335.275</v>
      </c>
      <c r="AC3" s="7">
        <f>IF(X3="rub",V3,V3*'Курс доллара'!$F$5)</f>
        <v>509.582</v>
      </c>
      <c r="AD3" s="7" t="str">
        <f>W3</f>
        <v>мсфо</v>
      </c>
      <c r="AE3" s="4" t="s">
        <v>143</v>
      </c>
    </row>
    <row r="4" spans="2:31" ht="12.75">
      <c r="B4" s="2" t="s">
        <v>0</v>
      </c>
      <c r="C4" s="1" t="s">
        <v>59</v>
      </c>
      <c r="D4" s="1">
        <v>2008</v>
      </c>
      <c r="E4" s="1">
        <v>3815000000</v>
      </c>
      <c r="F4" s="1" t="s">
        <v>122</v>
      </c>
      <c r="G4" s="1">
        <v>771000000</v>
      </c>
      <c r="H4" s="1">
        <v>9891000000</v>
      </c>
      <c r="I4" s="1">
        <v>15391.11</v>
      </c>
      <c r="J4" s="1">
        <v>5344.796</v>
      </c>
      <c r="K4" s="1">
        <v>63030.98</v>
      </c>
      <c r="L4" s="1">
        <v>43131.61</v>
      </c>
      <c r="M4" s="1">
        <v>22364.85</v>
      </c>
      <c r="N4" s="17">
        <f aca="true" t="shared" si="0" ref="N4:N66">H4/L4/1000000</f>
        <v>0.22932137242268488</v>
      </c>
      <c r="O4" s="1">
        <v>17.85957</v>
      </c>
      <c r="P4" s="1">
        <v>30389.87</v>
      </c>
      <c r="Q4" s="15">
        <f>18053.913+458.991</f>
        <v>18512.904000000002</v>
      </c>
      <c r="R4" s="7">
        <v>1335.913</v>
      </c>
      <c r="S4" s="7">
        <v>16139.059</v>
      </c>
      <c r="T4" s="7">
        <f aca="true" t="shared" si="1" ref="T4:T88">R4+S4</f>
        <v>17474.971999999998</v>
      </c>
      <c r="U4" s="7">
        <v>4008.768</v>
      </c>
      <c r="V4" s="7">
        <v>361.731</v>
      </c>
      <c r="W4" s="4" t="s">
        <v>144</v>
      </c>
      <c r="X4" s="4" t="s">
        <v>143</v>
      </c>
      <c r="Y4" s="7">
        <f>IF(X4="rub",R4,R4*'Курс доллара'!$F$6)</f>
        <v>1335.913</v>
      </c>
      <c r="Z4" s="7">
        <f>IF(X4="rub",S4,S4*'Курс доллара'!$F$6)</f>
        <v>16139.059</v>
      </c>
      <c r="AA4" s="7">
        <f>IF(X4="rub",T4,T4*'Курс доллара'!$F$6)</f>
        <v>17474.971999999998</v>
      </c>
      <c r="AB4" s="7">
        <f>IF(X4="rub",U4,U4*'Курс доллара'!$C$6)</f>
        <v>4008.768</v>
      </c>
      <c r="AC4" s="7">
        <f>IF(X4="rub",V4,V4*'Курс доллара'!$F$6)</f>
        <v>361.731</v>
      </c>
      <c r="AD4" s="7" t="str">
        <f aca="true" t="shared" si="2" ref="AD4:AD88">W4</f>
        <v>мсфо</v>
      </c>
      <c r="AE4" s="4" t="s">
        <v>143</v>
      </c>
    </row>
    <row r="5" spans="2:31" ht="12.75">
      <c r="B5" s="2" t="s">
        <v>0</v>
      </c>
      <c r="C5" s="1" t="s">
        <v>59</v>
      </c>
      <c r="D5" s="1">
        <v>2009</v>
      </c>
      <c r="E5" s="1">
        <v>1192000000</v>
      </c>
      <c r="F5" s="1" t="s">
        <v>122</v>
      </c>
      <c r="G5" s="1">
        <v>15315000000</v>
      </c>
      <c r="H5" s="1">
        <v>7256000000</v>
      </c>
      <c r="I5" s="15">
        <v>21687.51</v>
      </c>
      <c r="J5" s="1">
        <v>-749.8108</v>
      </c>
      <c r="K5" s="1">
        <v>84931.78</v>
      </c>
      <c r="L5" s="1">
        <v>37541.67</v>
      </c>
      <c r="M5" s="1">
        <v>38524.85</v>
      </c>
      <c r="N5" s="17">
        <f t="shared" si="0"/>
        <v>0.19327856219502224</v>
      </c>
      <c r="O5" s="1">
        <v>9.571925</v>
      </c>
      <c r="P5" s="1">
        <v>33239.37</v>
      </c>
      <c r="Q5" s="15">
        <f>20474.634+516.427</f>
        <v>20991.060999999998</v>
      </c>
      <c r="R5" s="7">
        <v>1379.663</v>
      </c>
      <c r="S5" s="7">
        <v>5374.47</v>
      </c>
      <c r="T5" s="7">
        <f t="shared" si="1"/>
        <v>6754.133</v>
      </c>
      <c r="U5" s="7">
        <v>7706.149</v>
      </c>
      <c r="V5" s="7">
        <v>364.135</v>
      </c>
      <c r="W5" s="4" t="s">
        <v>144</v>
      </c>
      <c r="X5" s="4" t="s">
        <v>143</v>
      </c>
      <c r="Y5" s="7">
        <f>IF(X5="rub",R5,R5*'Курс доллара'!$F$7)</f>
        <v>1379.663</v>
      </c>
      <c r="Z5" s="7">
        <f>IF(X5="rub",S5,S5*'Курс доллара'!$F$7)</f>
        <v>5374.47</v>
      </c>
      <c r="AA5" s="7">
        <f>IF(X5="rub",T5,T5*'Курс доллара'!$F$7)</f>
        <v>6754.133</v>
      </c>
      <c r="AB5" s="7">
        <f>IF(X5="rub",U5,U5*'Курс доллара'!$C$7)</f>
        <v>7706.149</v>
      </c>
      <c r="AC5" s="7">
        <f>IF(X5="rub",V5,V5*'Курс доллара'!$F$7)</f>
        <v>364.135</v>
      </c>
      <c r="AD5" s="7" t="str">
        <f t="shared" si="2"/>
        <v>мсфо</v>
      </c>
      <c r="AE5" s="4" t="s">
        <v>143</v>
      </c>
    </row>
    <row r="6" spans="2:31" ht="12.75">
      <c r="B6" s="2" t="s">
        <v>0</v>
      </c>
      <c r="C6" s="1" t="s">
        <v>59</v>
      </c>
      <c r="D6" s="1">
        <v>2010</v>
      </c>
      <c r="E6" s="1">
        <v>1110429000</v>
      </c>
      <c r="F6" s="1"/>
      <c r="G6" s="1"/>
      <c r="H6" s="1">
        <v>6279451000</v>
      </c>
      <c r="I6" s="15">
        <v>26200.044</v>
      </c>
      <c r="J6" s="1"/>
      <c r="K6" s="1">
        <v>98077.939</v>
      </c>
      <c r="L6" s="1">
        <v>46737.662</v>
      </c>
      <c r="M6" s="1">
        <v>45234.161</v>
      </c>
      <c r="N6" s="17">
        <f t="shared" si="0"/>
        <v>0.13435526578115956</v>
      </c>
      <c r="O6" s="7"/>
      <c r="P6" s="1">
        <f>22719.147+13134.375+658.059+19.681+38.265</f>
        <v>36569.526999999995</v>
      </c>
      <c r="Q6" s="15">
        <f>24091.097+507.16</f>
        <v>24598.257</v>
      </c>
      <c r="R6" s="7">
        <v>1495.603</v>
      </c>
      <c r="S6" s="7">
        <v>8740.505</v>
      </c>
      <c r="T6" s="7">
        <f t="shared" si="1"/>
        <v>10236.108</v>
      </c>
      <c r="U6" s="7">
        <v>7596.926</v>
      </c>
      <c r="V6" s="7">
        <v>694.235</v>
      </c>
      <c r="W6" s="4" t="s">
        <v>144</v>
      </c>
      <c r="X6" s="4" t="s">
        <v>143</v>
      </c>
      <c r="Y6" s="7">
        <f>IF(X6="rub",R6,R6*'Курс доллара'!$F$8)</f>
        <v>1495.603</v>
      </c>
      <c r="Z6" s="7">
        <f>IF(X6="rub",S6,S6*'Курс доллара'!$F$8)</f>
        <v>8740.505</v>
      </c>
      <c r="AA6" s="7">
        <f>IF(X6="rub",T6,T6*'Курс доллара'!$F$8)</f>
        <v>10236.108</v>
      </c>
      <c r="AB6" s="7">
        <f>IF(X6="rub",U6,U6*'Курс доллара'!$C$8)</f>
        <v>7596.926</v>
      </c>
      <c r="AC6" s="7">
        <f>IF(X6="rub",V6,V6*'Курс доллара'!$F$8)</f>
        <v>694.235</v>
      </c>
      <c r="AD6" s="7" t="str">
        <f t="shared" si="2"/>
        <v>мсфо</v>
      </c>
      <c r="AE6" s="4" t="s">
        <v>143</v>
      </c>
    </row>
    <row r="7" spans="1:31" ht="12.75">
      <c r="A7">
        <v>2</v>
      </c>
      <c r="B7" s="2" t="s">
        <v>1</v>
      </c>
      <c r="C7" s="1" t="s">
        <v>60</v>
      </c>
      <c r="D7" s="1">
        <v>2007</v>
      </c>
      <c r="E7" s="1">
        <v>2412500000</v>
      </c>
      <c r="F7" s="1" t="s">
        <v>122</v>
      </c>
      <c r="G7" s="1">
        <v>170237496000</v>
      </c>
      <c r="H7" s="1">
        <v>40162000000</v>
      </c>
      <c r="I7" s="1">
        <v>105353.3</v>
      </c>
      <c r="J7" s="1">
        <v>-768.263</v>
      </c>
      <c r="K7" s="1">
        <v>699688</v>
      </c>
      <c r="L7" s="1">
        <v>350350.7</v>
      </c>
      <c r="M7" s="1">
        <v>166192.1</v>
      </c>
      <c r="N7" s="17">
        <f t="shared" si="0"/>
        <v>0.11463370845270182</v>
      </c>
      <c r="O7" s="1">
        <v>6.470332</v>
      </c>
      <c r="P7" s="1">
        <v>292049.5</v>
      </c>
      <c r="Q7" s="1">
        <v>292738.7</v>
      </c>
      <c r="R7" s="8">
        <v>1747.171</v>
      </c>
      <c r="S7" s="8">
        <v>3194.942</v>
      </c>
      <c r="T7" s="8">
        <f t="shared" si="1"/>
        <v>4942.113</v>
      </c>
      <c r="U7" s="8">
        <v>1061.733</v>
      </c>
      <c r="V7" s="8">
        <v>409.826</v>
      </c>
      <c r="W7" s="4" t="s">
        <v>144</v>
      </c>
      <c r="X7" s="4" t="s">
        <v>142</v>
      </c>
      <c r="Y7" s="7">
        <f>IF(X7="rub",R7,R7*'Курс доллара'!$F$5)</f>
        <v>44445.67155915</v>
      </c>
      <c r="Z7" s="7">
        <f>IF(X7="rub",S7,S7*'Курс доллара'!$F$5)</f>
        <v>81275.0113083</v>
      </c>
      <c r="AA7" s="7">
        <f>IF(X7="rub",T7,T7*'Курс доллара'!$F$5)</f>
        <v>125720.68286745</v>
      </c>
      <c r="AB7" s="7">
        <f>IF(X7="rub",U7,U7*'Курс доллара'!$C$5)</f>
        <v>26061.510564599997</v>
      </c>
      <c r="AC7" s="7">
        <f>IF(X7="rub",V7,V7*'Курс доллара'!$F$5)</f>
        <v>10425.4201749</v>
      </c>
      <c r="AD7" s="7" t="str">
        <f t="shared" si="2"/>
        <v>мсфо</v>
      </c>
      <c r="AE7" s="4" t="s">
        <v>143</v>
      </c>
    </row>
    <row r="8" spans="2:31" ht="12.75">
      <c r="B8" s="2" t="s">
        <v>1</v>
      </c>
      <c r="C8" s="1" t="s">
        <v>60</v>
      </c>
      <c r="D8" s="1">
        <v>2008</v>
      </c>
      <c r="E8" s="1" t="s">
        <v>122</v>
      </c>
      <c r="F8" s="1" t="s">
        <v>122</v>
      </c>
      <c r="G8" s="1">
        <v>-106744574000</v>
      </c>
      <c r="H8" s="1">
        <v>1541000000</v>
      </c>
      <c r="I8" s="1">
        <v>88522.74</v>
      </c>
      <c r="J8" s="1">
        <v>16273.51</v>
      </c>
      <c r="K8" s="1">
        <v>857888.9</v>
      </c>
      <c r="L8" s="1">
        <v>399872.9</v>
      </c>
      <c r="M8" s="1">
        <v>161458</v>
      </c>
      <c r="N8" s="17">
        <f t="shared" si="0"/>
        <v>0.003853724520966537</v>
      </c>
      <c r="O8" s="1">
        <v>0.2152925</v>
      </c>
      <c r="P8" s="1">
        <v>440926.5</v>
      </c>
      <c r="Q8" s="1">
        <v>350818.1</v>
      </c>
      <c r="R8" s="8">
        <v>2316.268</v>
      </c>
      <c r="S8" s="8">
        <v>3137.985</v>
      </c>
      <c r="T8" s="8">
        <f t="shared" si="1"/>
        <v>5454.253000000001</v>
      </c>
      <c r="U8" s="8">
        <v>1982.35</v>
      </c>
      <c r="V8" s="8">
        <v>554.614</v>
      </c>
      <c r="W8" s="4" t="s">
        <v>144</v>
      </c>
      <c r="X8" s="4" t="s">
        <v>142</v>
      </c>
      <c r="Y8" s="7">
        <f>IF(X8="rub",R8,R8*'Курс доллара'!$F$6)</f>
        <v>62454.228964400005</v>
      </c>
      <c r="Z8" s="7">
        <f>IF(X8="rub",S8,S8*'Курс доллара'!$F$6)</f>
        <v>84610.4309505</v>
      </c>
      <c r="AA8" s="7">
        <f>IF(X8="rub",T8,T8*'Курс доллара'!$F$6)</f>
        <v>147064.65991490002</v>
      </c>
      <c r="AB8" s="7">
        <f>IF(X8="rub",U8,U8*'Курс доллара'!$C$6)</f>
        <v>58242.23594</v>
      </c>
      <c r="AC8" s="7">
        <f>IF(X8="rub",V8,V8*'Курс доллара'!$F$6)</f>
        <v>14954.223666200001</v>
      </c>
      <c r="AD8" s="7" t="str">
        <f t="shared" si="2"/>
        <v>мсфо</v>
      </c>
      <c r="AE8" s="4" t="s">
        <v>143</v>
      </c>
    </row>
    <row r="9" spans="2:31" ht="12.75">
      <c r="B9" s="2" t="s">
        <v>1</v>
      </c>
      <c r="C9" s="1" t="s">
        <v>60</v>
      </c>
      <c r="D9" s="1">
        <v>2009</v>
      </c>
      <c r="E9" s="1">
        <v>530750000</v>
      </c>
      <c r="F9" s="1" t="s">
        <v>122</v>
      </c>
      <c r="G9" s="1">
        <v>-43401803000</v>
      </c>
      <c r="H9" s="1">
        <v>52083000000</v>
      </c>
      <c r="I9" s="1">
        <v>150708.6</v>
      </c>
      <c r="J9" s="1">
        <v>666.6116</v>
      </c>
      <c r="K9" s="1">
        <v>1261802</v>
      </c>
      <c r="L9" s="1">
        <v>595296.4</v>
      </c>
      <c r="M9" s="1">
        <v>204034.1</v>
      </c>
      <c r="N9" s="17">
        <f t="shared" si="0"/>
        <v>0.08749087009429252</v>
      </c>
      <c r="O9" s="1">
        <v>4.617176</v>
      </c>
      <c r="P9" s="1">
        <v>621051.1</v>
      </c>
      <c r="Q9" s="1">
        <v>637465.4</v>
      </c>
      <c r="R9" s="8">
        <v>2490.514</v>
      </c>
      <c r="S9" s="8">
        <v>4319.006</v>
      </c>
      <c r="T9" s="8">
        <f t="shared" si="1"/>
        <v>6809.52</v>
      </c>
      <c r="U9" s="8">
        <v>3845.427</v>
      </c>
      <c r="V9" s="8">
        <v>1328.609</v>
      </c>
      <c r="W9" s="4" t="s">
        <v>144</v>
      </c>
      <c r="X9" s="4" t="s">
        <v>142</v>
      </c>
      <c r="Y9" s="7">
        <f>IF(X9="rub",R9,R9*'Курс доллара'!$F$7)</f>
        <v>74247.9505222</v>
      </c>
      <c r="Z9" s="7">
        <f>IF(X9="rub",S9,S9*'Курс доллара'!$F$7)</f>
        <v>128759.50257380001</v>
      </c>
      <c r="AA9" s="7">
        <f>IF(X9="rub",T9,T9*'Курс доллара'!$F$7)</f>
        <v>203007.453096</v>
      </c>
      <c r="AB9" s="7">
        <f>IF(X9="rub",U9,U9*'Курс доллара'!$C$7)</f>
        <v>116301.8632734</v>
      </c>
      <c r="AC9" s="7">
        <f>IF(X9="rub",V9,V9*'Курс доллара'!$F$7)</f>
        <v>39608.8900907</v>
      </c>
      <c r="AD9" s="7" t="str">
        <f t="shared" si="2"/>
        <v>мсфо</v>
      </c>
      <c r="AE9" s="4" t="s">
        <v>143</v>
      </c>
    </row>
    <row r="10" spans="2:31" ht="12.75">
      <c r="B10" s="2" t="s">
        <v>1</v>
      </c>
      <c r="C10" s="1" t="s">
        <v>60</v>
      </c>
      <c r="D10" s="1">
        <v>2010</v>
      </c>
      <c r="E10" s="1">
        <f>17455000*'Курс доллара'!F8</f>
        <v>529943400.25</v>
      </c>
      <c r="F10" s="1"/>
      <c r="G10" s="1"/>
      <c r="H10" s="1">
        <f>2117199000*'Курс доллара'!F8</f>
        <v>64279326099.45</v>
      </c>
      <c r="I10" s="1"/>
      <c r="J10" s="1"/>
      <c r="K10" s="1"/>
      <c r="L10" s="1"/>
      <c r="M10" s="1"/>
      <c r="N10" s="17"/>
      <c r="O10" s="1"/>
      <c r="P10" s="1"/>
      <c r="Q10" s="1"/>
      <c r="R10" s="8"/>
      <c r="S10" s="8"/>
      <c r="T10" s="8"/>
      <c r="U10" s="8"/>
      <c r="V10" s="8"/>
      <c r="W10" s="4"/>
      <c r="X10" s="4"/>
      <c r="Y10" s="7"/>
      <c r="Z10" s="7"/>
      <c r="AA10" s="7"/>
      <c r="AB10" s="7"/>
      <c r="AC10" s="7"/>
      <c r="AD10" s="7"/>
      <c r="AE10" s="4"/>
    </row>
    <row r="11" spans="1:31" ht="12.75">
      <c r="A11">
        <v>3</v>
      </c>
      <c r="B11" s="2" t="s">
        <v>2</v>
      </c>
      <c r="C11" s="1" t="s">
        <v>61</v>
      </c>
      <c r="D11" s="1">
        <v>2007</v>
      </c>
      <c r="E11" s="1">
        <v>1519000000</v>
      </c>
      <c r="F11" s="1" t="s">
        <v>122</v>
      </c>
      <c r="G11" s="1">
        <v>6074000000</v>
      </c>
      <c r="H11" s="1" t="s">
        <v>122</v>
      </c>
      <c r="I11" s="1">
        <v>26132.97</v>
      </c>
      <c r="J11" s="1">
        <v>-5083.567</v>
      </c>
      <c r="K11" s="1">
        <v>83733.43</v>
      </c>
      <c r="L11" s="1">
        <v>97370.25</v>
      </c>
      <c r="M11" s="1">
        <v>27404.38</v>
      </c>
      <c r="N11" s="17">
        <f>G11/K11/1000000</f>
        <v>0.07253972517308797</v>
      </c>
      <c r="O11" s="1">
        <v>10.51961</v>
      </c>
      <c r="P11" s="1">
        <v>27337.86</v>
      </c>
      <c r="Q11" s="1">
        <v>42644.1</v>
      </c>
      <c r="R11" s="8">
        <v>145</v>
      </c>
      <c r="S11" s="8">
        <v>578</v>
      </c>
      <c r="T11" s="8">
        <f t="shared" si="1"/>
        <v>723</v>
      </c>
      <c r="U11" s="8">
        <v>90.6</v>
      </c>
      <c r="V11" s="8">
        <f>31.6+11.9+9.7</f>
        <v>53.2</v>
      </c>
      <c r="W11" s="4" t="s">
        <v>144</v>
      </c>
      <c r="X11" s="4" t="s">
        <v>142</v>
      </c>
      <c r="Y11" s="7">
        <f>IF(X11="rub",R11,R11*'Курс доллара'!$F$5)</f>
        <v>3688.60425</v>
      </c>
      <c r="Z11" s="7">
        <f>IF(X11="rub",S11,S11*'Курс доллара'!$F$5)</f>
        <v>14703.5397</v>
      </c>
      <c r="AA11" s="7">
        <f>IF(X11="rub",T11,T11*'Курс доллара'!$F$5)</f>
        <v>18392.143949999998</v>
      </c>
      <c r="AB11" s="7">
        <f>IF(X11="rub",U11,U11*'Курс доллара'!$C$5)</f>
        <v>2223.8857199999998</v>
      </c>
      <c r="AC11" s="7">
        <f>IF(X11="rub",V11,V11*'Курс доллара'!$F$5)</f>
        <v>1353.33618</v>
      </c>
      <c r="AD11" s="7" t="str">
        <f t="shared" si="2"/>
        <v>мсфо</v>
      </c>
      <c r="AE11" s="4" t="s">
        <v>143</v>
      </c>
    </row>
    <row r="12" spans="2:31" ht="12.75">
      <c r="B12" s="2" t="s">
        <v>2</v>
      </c>
      <c r="C12" s="1" t="s">
        <v>61</v>
      </c>
      <c r="D12" s="1">
        <v>2008</v>
      </c>
      <c r="E12" s="1">
        <v>200000000</v>
      </c>
      <c r="F12" s="1" t="s">
        <v>122</v>
      </c>
      <c r="G12" s="1">
        <v>5807000000</v>
      </c>
      <c r="H12" s="1" t="s">
        <v>122</v>
      </c>
      <c r="I12" s="1">
        <v>26268.46</v>
      </c>
      <c r="J12" s="1">
        <v>-1843.715</v>
      </c>
      <c r="K12" s="1">
        <v>98511.14</v>
      </c>
      <c r="L12" s="1">
        <v>114798</v>
      </c>
      <c r="M12" s="1">
        <v>27785.65</v>
      </c>
      <c r="N12" s="17">
        <f>G12/K12/1000000</f>
        <v>0.05894764795128754</v>
      </c>
      <c r="O12" s="1">
        <v>1.662542</v>
      </c>
      <c r="P12" s="1">
        <v>37479.75</v>
      </c>
      <c r="Q12" s="1">
        <v>52663.36</v>
      </c>
      <c r="R12" s="8">
        <v>159.3</v>
      </c>
      <c r="S12" s="8">
        <v>330.1</v>
      </c>
      <c r="T12" s="8">
        <f t="shared" si="1"/>
        <v>489.40000000000003</v>
      </c>
      <c r="U12" s="8">
        <v>146.8</v>
      </c>
      <c r="V12" s="8">
        <f>13.4+16.7+24.6</f>
        <v>54.7</v>
      </c>
      <c r="W12" s="4" t="s">
        <v>144</v>
      </c>
      <c r="X12" s="4" t="s">
        <v>142</v>
      </c>
      <c r="Y12" s="7">
        <f>IF(X12="rub",R12,R12*'Курс доллара'!$F$6)</f>
        <v>4295.2536900000005</v>
      </c>
      <c r="Z12" s="7">
        <f>IF(X12="rub",S12,S12*'Курс доллара'!$F$6)</f>
        <v>8900.58533</v>
      </c>
      <c r="AA12" s="7">
        <f>IF(X12="rub",T12,T12*'Курс доллара'!$F$6)</f>
        <v>13195.839020000001</v>
      </c>
      <c r="AB12" s="7">
        <f>IF(X12="rub",U12,U12*'Курс доллара'!$C$6)</f>
        <v>4313.04272</v>
      </c>
      <c r="AC12" s="7">
        <f>IF(X12="rub",V12,V12*'Курс доллара'!$F$6)</f>
        <v>1474.8925100000001</v>
      </c>
      <c r="AD12" s="7" t="str">
        <f t="shared" si="2"/>
        <v>мсфо</v>
      </c>
      <c r="AE12" s="4" t="s">
        <v>143</v>
      </c>
    </row>
    <row r="13" spans="2:31" ht="12.75">
      <c r="B13" s="2" t="s">
        <v>2</v>
      </c>
      <c r="C13" s="1" t="s">
        <v>61</v>
      </c>
      <c r="D13" s="1">
        <v>2009</v>
      </c>
      <c r="E13" s="1">
        <v>389000000</v>
      </c>
      <c r="F13" s="1" t="s">
        <v>122</v>
      </c>
      <c r="G13" s="1">
        <v>1553000000</v>
      </c>
      <c r="H13" s="1" t="s">
        <v>122</v>
      </c>
      <c r="I13" s="1">
        <v>27361.88</v>
      </c>
      <c r="J13" s="1">
        <v>-4810.042</v>
      </c>
      <c r="K13" s="1">
        <v>120764.7</v>
      </c>
      <c r="L13" s="1">
        <v>106230.5</v>
      </c>
      <c r="M13" s="1">
        <v>28911.69</v>
      </c>
      <c r="N13" s="17">
        <f>G13/K13/1000000</f>
        <v>0.012859718112991627</v>
      </c>
      <c r="O13" s="1">
        <v>2.42023</v>
      </c>
      <c r="P13" s="1">
        <v>51383.88</v>
      </c>
      <c r="Q13" s="1">
        <v>65578.42</v>
      </c>
      <c r="R13" s="8">
        <v>145.3</v>
      </c>
      <c r="S13" s="8">
        <v>277.8</v>
      </c>
      <c r="T13" s="8">
        <f t="shared" si="1"/>
        <v>423.1</v>
      </c>
      <c r="U13" s="8">
        <v>121.1</v>
      </c>
      <c r="V13" s="8">
        <f>8.9+15.6+16.6</f>
        <v>41.1</v>
      </c>
      <c r="W13" s="4" t="s">
        <v>144</v>
      </c>
      <c r="X13" s="4" t="s">
        <v>142</v>
      </c>
      <c r="Y13" s="7">
        <f>IF(X13="rub",R13,R13*'Курс доллара'!$F$7)</f>
        <v>4331.7271900000005</v>
      </c>
      <c r="Z13" s="7">
        <f>IF(X13="rub",S13,S13*'Курс доллара'!$F$7)</f>
        <v>8281.85694</v>
      </c>
      <c r="AA13" s="7">
        <f>IF(X13="rub",T13,T13*'Курс доллара'!$F$7)</f>
        <v>12613.584130000001</v>
      </c>
      <c r="AB13" s="7">
        <f>IF(X13="rub",U13,U13*'Курс доллара'!$C$7)</f>
        <v>3662.57262</v>
      </c>
      <c r="AC13" s="7">
        <f>IF(X13="rub",V13,V13*'Курс доллара'!$F$7)</f>
        <v>1225.28553</v>
      </c>
      <c r="AD13" s="7" t="str">
        <f t="shared" si="2"/>
        <v>мсфо</v>
      </c>
      <c r="AE13" s="4" t="s">
        <v>143</v>
      </c>
    </row>
    <row r="14" spans="2:31" ht="12.75">
      <c r="B14" s="2" t="s">
        <v>2</v>
      </c>
      <c r="C14" s="1" t="s">
        <v>61</v>
      </c>
      <c r="D14" s="1">
        <v>2010</v>
      </c>
      <c r="E14" s="1">
        <f>13000000*'Курс доллара'!F8</f>
        <v>394687150</v>
      </c>
      <c r="F14" s="1"/>
      <c r="G14" s="1"/>
      <c r="H14" s="1">
        <f>253200000*'Курс доллара'!F8</f>
        <v>7687291260</v>
      </c>
      <c r="I14" s="1">
        <f>1302.5*'Курс доллара'!C8</f>
        <v>39696.16225</v>
      </c>
      <c r="J14" s="1"/>
      <c r="K14" s="1">
        <f>4525.9*'Курс доллара'!C8</f>
        <v>137935.40171</v>
      </c>
      <c r="L14" s="1">
        <f>4319.3*'Курс доллара'!F8</f>
        <v>131136.323615</v>
      </c>
      <c r="M14" s="1">
        <f>1154.9*'Курс доллара'!C8</f>
        <v>35197.771810000006</v>
      </c>
      <c r="N14" s="17">
        <f>H14/K14/1000000</f>
        <v>0.055731097054851936</v>
      </c>
      <c r="O14" s="1"/>
      <c r="P14" s="1">
        <f>(62.4+103.8+1250.8+630.1)*'Курс доллара'!C8</f>
        <v>62389.26199</v>
      </c>
      <c r="Q14" s="1"/>
      <c r="R14" s="8">
        <v>184.3</v>
      </c>
      <c r="S14" s="8">
        <f>499.4</f>
        <v>499.4</v>
      </c>
      <c r="T14" s="8">
        <f t="shared" si="1"/>
        <v>683.7</v>
      </c>
      <c r="U14" s="8">
        <v>660.4</v>
      </c>
      <c r="V14" s="8">
        <f>139.8</f>
        <v>139.8</v>
      </c>
      <c r="W14" s="4" t="s">
        <v>144</v>
      </c>
      <c r="X14" s="4" t="s">
        <v>142</v>
      </c>
      <c r="Y14" s="7">
        <f>IF(X14="rub",R14,R14*'Курс доллара'!$F$8)</f>
        <v>5595.449365</v>
      </c>
      <c r="Z14" s="7">
        <f>IF(X14="rub",S14,S14*'Курс доллара'!$F$8)</f>
        <v>15162.058669999999</v>
      </c>
      <c r="AA14" s="7">
        <f>IF(X14="rub",T14,T14*'Курс доллара'!$F$8)</f>
        <v>20757.508035000003</v>
      </c>
      <c r="AB14" s="7">
        <f>IF(X14="rub",U14,U14*'Курс доллара'!$C$8)</f>
        <v>20126.94476</v>
      </c>
      <c r="AC14" s="7">
        <f>IF(X14="rub",V14,V14*'Курс доллара'!$F$8)</f>
        <v>4244.404890000001</v>
      </c>
      <c r="AD14" s="7" t="str">
        <f>W14</f>
        <v>мсфо</v>
      </c>
      <c r="AE14" s="4" t="s">
        <v>143</v>
      </c>
    </row>
    <row r="15" spans="1:31" ht="12.75">
      <c r="A15">
        <v>4</v>
      </c>
      <c r="B15" s="2" t="s">
        <v>3</v>
      </c>
      <c r="C15" s="1" t="s">
        <v>62</v>
      </c>
      <c r="D15" s="1">
        <v>2007</v>
      </c>
      <c r="E15" s="1">
        <v>7889158888</v>
      </c>
      <c r="F15" s="1">
        <v>640981640</v>
      </c>
      <c r="G15" s="1">
        <v>14414357523</v>
      </c>
      <c r="H15" s="1">
        <v>13960613000</v>
      </c>
      <c r="I15" s="1">
        <v>42374.83</v>
      </c>
      <c r="J15" s="1" t="s">
        <v>122</v>
      </c>
      <c r="K15" s="1">
        <v>69243.55</v>
      </c>
      <c r="L15" s="1">
        <v>78897.02</v>
      </c>
      <c r="M15" s="1">
        <v>46864.78</v>
      </c>
      <c r="N15" s="17">
        <f t="shared" si="0"/>
        <v>0.1769472788706088</v>
      </c>
      <c r="O15" s="1">
        <v>20.98262</v>
      </c>
      <c r="P15" s="1">
        <v>11750.88</v>
      </c>
      <c r="Q15" s="1">
        <v>39375.1</v>
      </c>
      <c r="R15" s="7">
        <f>4511.246+71.572</f>
        <v>4582.818</v>
      </c>
      <c r="S15" s="7">
        <f>41081.3-19609.227-2653.445+3.615</f>
        <v>18822.243000000006</v>
      </c>
      <c r="T15" s="7">
        <f t="shared" si="1"/>
        <v>23405.061000000005</v>
      </c>
      <c r="U15" s="7">
        <v>2708.501</v>
      </c>
      <c r="V15" s="7">
        <v>251.871</v>
      </c>
      <c r="W15" s="4" t="s">
        <v>144</v>
      </c>
      <c r="X15" s="4" t="s">
        <v>143</v>
      </c>
      <c r="Y15" s="7">
        <f>IF(X15="rub",R15,R15*'Курс доллара'!$F$5)</f>
        <v>4582.818</v>
      </c>
      <c r="Z15" s="7">
        <f>IF(X15="rub",S15,S15*'Курс доллара'!$F$5)</f>
        <v>18822.243000000006</v>
      </c>
      <c r="AA15" s="7">
        <f>IF(X15="rub",T15,T15*'Курс доллара'!$F$5)</f>
        <v>23405.061000000005</v>
      </c>
      <c r="AB15" s="7">
        <f>IF(X15="rub",U15,U15*'Курс доллара'!$C$5)</f>
        <v>2708.501</v>
      </c>
      <c r="AC15" s="7">
        <f>IF(X15="rub",V15,V15*'Курс доллара'!$F$5)</f>
        <v>251.871</v>
      </c>
      <c r="AD15" s="7" t="str">
        <f t="shared" si="2"/>
        <v>мсфо</v>
      </c>
      <c r="AE15" s="4" t="s">
        <v>143</v>
      </c>
    </row>
    <row r="16" spans="2:31" ht="12.75">
      <c r="B16" s="2" t="s">
        <v>3</v>
      </c>
      <c r="C16" s="1" t="s">
        <v>62</v>
      </c>
      <c r="D16" s="1">
        <v>2008</v>
      </c>
      <c r="E16" s="1">
        <v>12910911949.4</v>
      </c>
      <c r="F16" s="1">
        <v>1048991106.9999999</v>
      </c>
      <c r="G16" s="1">
        <v>14973402672</v>
      </c>
      <c r="H16" s="1">
        <v>15511261000</v>
      </c>
      <c r="I16" s="1">
        <v>49284.43</v>
      </c>
      <c r="J16" s="1" t="s">
        <v>122</v>
      </c>
      <c r="K16" s="1">
        <v>74967.83</v>
      </c>
      <c r="L16" s="1">
        <v>92482.28</v>
      </c>
      <c r="M16" s="1">
        <v>54192.27</v>
      </c>
      <c r="N16" s="17">
        <f t="shared" si="0"/>
        <v>0.1677214380960331</v>
      </c>
      <c r="O16" s="1">
        <v>21.51184</v>
      </c>
      <c r="P16" s="1">
        <v>7739.141</v>
      </c>
      <c r="Q16" s="1">
        <v>43366.54</v>
      </c>
      <c r="R16" s="7">
        <f>4615.461+180.436</f>
        <v>4795.897</v>
      </c>
      <c r="S16" s="7">
        <f>45813.778-20765.881-2913.352+78.487</f>
        <v>22213.032</v>
      </c>
      <c r="T16" s="7">
        <f t="shared" si="1"/>
        <v>27008.929</v>
      </c>
      <c r="U16" s="7">
        <v>1691.594</v>
      </c>
      <c r="V16" s="7">
        <v>573.336</v>
      </c>
      <c r="W16" s="4" t="s">
        <v>144</v>
      </c>
      <c r="X16" s="4" t="s">
        <v>143</v>
      </c>
      <c r="Y16" s="7">
        <f>IF(X16="rub",R16,R16*'Курс доллара'!$F$6)</f>
        <v>4795.897</v>
      </c>
      <c r="Z16" s="7">
        <f>IF(X16="rub",S16,S16*'Курс доллара'!$F$6)</f>
        <v>22213.032</v>
      </c>
      <c r="AA16" s="7">
        <f>IF(X16="rub",T16,T16*'Курс доллара'!$F$6)</f>
        <v>27008.929</v>
      </c>
      <c r="AB16" s="7">
        <f>IF(X16="rub",U16,U16*'Курс доллара'!$C$6)</f>
        <v>1691.594</v>
      </c>
      <c r="AC16" s="7">
        <f>IF(X16="rub",V16,V16*'Курс доллара'!$F$6)</f>
        <v>573.336</v>
      </c>
      <c r="AD16" s="7" t="str">
        <f t="shared" si="2"/>
        <v>мсфо</v>
      </c>
      <c r="AE16" s="4" t="s">
        <v>143</v>
      </c>
    </row>
    <row r="17" spans="2:31" ht="12.75">
      <c r="B17" s="2" t="s">
        <v>3</v>
      </c>
      <c r="C17" s="1" t="s">
        <v>62</v>
      </c>
      <c r="D17" s="1">
        <v>2009</v>
      </c>
      <c r="E17" s="1">
        <v>19419468032</v>
      </c>
      <c r="F17" s="1">
        <v>1577800960</v>
      </c>
      <c r="G17" s="1">
        <v>23444239346</v>
      </c>
      <c r="H17" s="1">
        <v>23630087000</v>
      </c>
      <c r="I17" s="1">
        <v>58688.49</v>
      </c>
      <c r="J17" s="1" t="s">
        <v>122</v>
      </c>
      <c r="K17" s="1">
        <v>79638.57</v>
      </c>
      <c r="L17" s="1">
        <v>93648.75</v>
      </c>
      <c r="M17" s="1">
        <v>63596.33</v>
      </c>
      <c r="N17" s="17">
        <f t="shared" si="0"/>
        <v>0.2523267742495228</v>
      </c>
      <c r="O17" s="1">
        <v>28.87756</v>
      </c>
      <c r="P17" s="1">
        <v>181.572</v>
      </c>
      <c r="Q17" s="1">
        <v>42186.87</v>
      </c>
      <c r="R17" s="7">
        <f>4447.579+196.73</f>
        <v>4644.308999999999</v>
      </c>
      <c r="S17" s="7">
        <v>29647.25</v>
      </c>
      <c r="T17" s="7">
        <f t="shared" si="1"/>
        <v>34291.559</v>
      </c>
      <c r="U17" s="7">
        <v>1740.702</v>
      </c>
      <c r="V17" s="7">
        <v>190.319</v>
      </c>
      <c r="W17" s="4" t="s">
        <v>144</v>
      </c>
      <c r="X17" s="4" t="s">
        <v>143</v>
      </c>
      <c r="Y17" s="7">
        <f>IF(X17="rub",R17,R17*'Курс доллара'!$F$7)</f>
        <v>4644.308999999999</v>
      </c>
      <c r="Z17" s="7">
        <f>IF(X17="rub",S17,S17*'Курс доллара'!$F$7)</f>
        <v>29647.25</v>
      </c>
      <c r="AA17" s="7">
        <f>IF(X17="rub",T17,T17*'Курс доллара'!$F$7)</f>
        <v>34291.559</v>
      </c>
      <c r="AB17" s="7">
        <f>IF(X17="rub",U17,U17*'Курс доллара'!$C$7)</f>
        <v>1740.702</v>
      </c>
      <c r="AC17" s="7">
        <f>IF(X17="rub",V17,V17*'Курс доллара'!$F$7)</f>
        <v>190.319</v>
      </c>
      <c r="AD17" s="7" t="str">
        <f t="shared" si="2"/>
        <v>мсфо</v>
      </c>
      <c r="AE17" s="4" t="s">
        <v>143</v>
      </c>
    </row>
    <row r="18" spans="2:31" ht="12.75">
      <c r="B18" s="2" t="s">
        <v>3</v>
      </c>
      <c r="C18" s="1" t="s">
        <v>62</v>
      </c>
      <c r="D18" s="1">
        <v>2010</v>
      </c>
      <c r="E18" s="1"/>
      <c r="F18" s="1"/>
      <c r="G18" s="1"/>
      <c r="H18" s="1"/>
      <c r="I18" s="1"/>
      <c r="J18" s="1"/>
      <c r="K18" s="1"/>
      <c r="L18" s="1"/>
      <c r="M18" s="1"/>
      <c r="N18" s="17"/>
      <c r="O18" s="1"/>
      <c r="P18" s="1"/>
      <c r="Q18" s="1"/>
      <c r="R18" s="7"/>
      <c r="S18" s="7"/>
      <c r="T18" s="7"/>
      <c r="U18" s="7"/>
      <c r="V18" s="7"/>
      <c r="W18" s="4"/>
      <c r="X18" s="4"/>
      <c r="Y18" s="7"/>
      <c r="Z18" s="7"/>
      <c r="AA18" s="7"/>
      <c r="AB18" s="7"/>
      <c r="AC18" s="7"/>
      <c r="AD18" s="7"/>
      <c r="AE18" s="4"/>
    </row>
    <row r="19" spans="1:31" ht="12.75">
      <c r="A19">
        <v>5</v>
      </c>
      <c r="B19" s="2" t="s">
        <v>4</v>
      </c>
      <c r="C19" s="1" t="s">
        <v>118</v>
      </c>
      <c r="D19" s="1">
        <v>2007</v>
      </c>
      <c r="E19" s="1">
        <v>4597377000</v>
      </c>
      <c r="F19" s="1" t="s">
        <v>122</v>
      </c>
      <c r="G19" s="1">
        <v>4597377000</v>
      </c>
      <c r="H19" s="1">
        <v>5102819000</v>
      </c>
      <c r="I19" s="1">
        <v>22972.41</v>
      </c>
      <c r="J19" s="1" t="s">
        <v>122</v>
      </c>
      <c r="K19" s="1">
        <v>215591.8</v>
      </c>
      <c r="L19" s="1">
        <v>20527.92</v>
      </c>
      <c r="M19" s="1">
        <v>25160.91</v>
      </c>
      <c r="N19" s="17">
        <f t="shared" si="0"/>
        <v>0.24857944691912284</v>
      </c>
      <c r="O19" s="1">
        <v>2.773451</v>
      </c>
      <c r="P19" s="1">
        <v>68964.38</v>
      </c>
      <c r="Q19" s="1" t="s">
        <v>122</v>
      </c>
      <c r="R19" s="8" t="s">
        <v>140</v>
      </c>
      <c r="S19" s="8" t="s">
        <v>140</v>
      </c>
      <c r="T19" s="8" t="e">
        <f t="shared" si="1"/>
        <v>#VALUE!</v>
      </c>
      <c r="U19" s="8" t="s">
        <v>140</v>
      </c>
      <c r="V19" s="8" t="s">
        <v>140</v>
      </c>
      <c r="W19" s="4"/>
      <c r="X19" s="4" t="s">
        <v>143</v>
      </c>
      <c r="Y19" s="7" t="str">
        <f>IF(X19="rub",R19,R19*'Курс доллара'!$F$5)</f>
        <v>нет инфо</v>
      </c>
      <c r="Z19" s="7" t="str">
        <f>IF(X19="rub",S19,S19*'Курс доллара'!$F$5)</f>
        <v>нет инфо</v>
      </c>
      <c r="AA19" s="7" t="e">
        <f>IF(X19="rub",T19,T19*'Курс доллара'!$F$5)</f>
        <v>#VALUE!</v>
      </c>
      <c r="AB19" s="7" t="str">
        <f>IF(X19="rub",U19,U19*'Курс доллара'!$C$5)</f>
        <v>нет инфо</v>
      </c>
      <c r="AC19" s="7" t="str">
        <f>IF(X19="rub",V19,V19*'Курс доллара'!$F$5)</f>
        <v>нет инфо</v>
      </c>
      <c r="AD19" s="7">
        <f t="shared" si="2"/>
        <v>0</v>
      </c>
      <c r="AE19" s="4" t="s">
        <v>143</v>
      </c>
    </row>
    <row r="20" spans="2:31" ht="12.75">
      <c r="B20" s="2" t="s">
        <v>4</v>
      </c>
      <c r="C20" s="1" t="s">
        <v>118</v>
      </c>
      <c r="D20" s="1">
        <v>2008</v>
      </c>
      <c r="E20" s="1">
        <v>6043908000</v>
      </c>
      <c r="F20" s="1" t="s">
        <v>122</v>
      </c>
      <c r="G20" s="1">
        <v>6043908000</v>
      </c>
      <c r="H20" s="1">
        <v>4621152000</v>
      </c>
      <c r="I20" s="1">
        <v>22989.31</v>
      </c>
      <c r="J20" s="1" t="s">
        <v>122</v>
      </c>
      <c r="K20" s="1">
        <v>225832.7</v>
      </c>
      <c r="L20" s="1">
        <v>23131.06</v>
      </c>
      <c r="M20" s="1">
        <v>25177.8</v>
      </c>
      <c r="N20" s="17">
        <f t="shared" si="0"/>
        <v>0.1997812465144269</v>
      </c>
      <c r="O20" s="1">
        <v>2.093745</v>
      </c>
      <c r="P20" s="1">
        <v>77214.27</v>
      </c>
      <c r="Q20" s="1" t="s">
        <v>122</v>
      </c>
      <c r="R20" s="8" t="s">
        <v>140</v>
      </c>
      <c r="S20" s="8" t="s">
        <v>140</v>
      </c>
      <c r="T20" s="8" t="e">
        <f t="shared" si="1"/>
        <v>#VALUE!</v>
      </c>
      <c r="U20" s="8" t="s">
        <v>140</v>
      </c>
      <c r="V20" s="8" t="s">
        <v>140</v>
      </c>
      <c r="W20" s="4"/>
      <c r="X20" s="4" t="s">
        <v>143</v>
      </c>
      <c r="Y20" s="7" t="str">
        <f>IF(X20="rub",R20,R20*'Курс доллара'!$F$6)</f>
        <v>нет инфо</v>
      </c>
      <c r="Z20" s="7" t="str">
        <f>IF(X20="rub",S20,S20*'Курс доллара'!$F$6)</f>
        <v>нет инфо</v>
      </c>
      <c r="AA20" s="7" t="e">
        <f>IF(X20="rub",T20,T20*'Курс доллара'!$F$6)</f>
        <v>#VALUE!</v>
      </c>
      <c r="AB20" s="7" t="str">
        <f>IF(X20="rub",U20,U20*'Курс доллара'!$C$6)</f>
        <v>нет инфо</v>
      </c>
      <c r="AC20" s="7" t="str">
        <f>IF(X20="rub",V20,V20*'Курс доллара'!$F$6)</f>
        <v>нет инфо</v>
      </c>
      <c r="AD20" s="7">
        <f t="shared" si="2"/>
        <v>0</v>
      </c>
      <c r="AE20" s="4" t="s">
        <v>143</v>
      </c>
    </row>
    <row r="21" spans="2:31" ht="12.75">
      <c r="B21" s="2" t="s">
        <v>4</v>
      </c>
      <c r="C21" s="1" t="s">
        <v>118</v>
      </c>
      <c r="D21" s="1">
        <v>2009</v>
      </c>
      <c r="E21" s="1">
        <v>2148294000</v>
      </c>
      <c r="F21" s="1" t="s">
        <v>122</v>
      </c>
      <c r="G21" s="1">
        <v>3409224000</v>
      </c>
      <c r="H21" s="1">
        <v>3486765000</v>
      </c>
      <c r="I21" s="1">
        <v>18283.87</v>
      </c>
      <c r="J21" s="1" t="s">
        <v>122</v>
      </c>
      <c r="K21" s="1">
        <v>248539</v>
      </c>
      <c r="L21" s="1">
        <v>29203.13</v>
      </c>
      <c r="M21" s="1">
        <v>26472.37</v>
      </c>
      <c r="N21" s="17">
        <f t="shared" si="0"/>
        <v>0.1193969619010017</v>
      </c>
      <c r="O21" s="1">
        <v>1.386613</v>
      </c>
      <c r="P21" s="1">
        <v>85542.3</v>
      </c>
      <c r="Q21" s="1" t="s">
        <v>122</v>
      </c>
      <c r="R21" s="8" t="s">
        <v>140</v>
      </c>
      <c r="S21" s="8" t="s">
        <v>140</v>
      </c>
      <c r="T21" s="8" t="e">
        <f t="shared" si="1"/>
        <v>#VALUE!</v>
      </c>
      <c r="U21" s="8" t="s">
        <v>140</v>
      </c>
      <c r="V21" s="8" t="s">
        <v>140</v>
      </c>
      <c r="W21" s="4"/>
      <c r="X21" s="4" t="s">
        <v>143</v>
      </c>
      <c r="Y21" s="7" t="str">
        <f>IF(X21="rub",R21,R21*'Курс доллара'!$F$7)</f>
        <v>нет инфо</v>
      </c>
      <c r="Z21" s="7" t="str">
        <f>IF(X21="rub",S21,S21*'Курс доллара'!$F$7)</f>
        <v>нет инфо</v>
      </c>
      <c r="AA21" s="7" t="e">
        <f>IF(X21="rub",T21,T21*'Курс доллара'!$F$7)</f>
        <v>#VALUE!</v>
      </c>
      <c r="AB21" s="7" t="str">
        <f>IF(X21="rub",U21,U21*'Курс доллара'!$C$7)</f>
        <v>нет инфо</v>
      </c>
      <c r="AC21" s="7" t="str">
        <f>IF(X21="rub",V21,V21*'Курс доллара'!$F$7)</f>
        <v>нет инфо</v>
      </c>
      <c r="AD21" s="7">
        <f t="shared" si="2"/>
        <v>0</v>
      </c>
      <c r="AE21" s="4" t="s">
        <v>143</v>
      </c>
    </row>
    <row r="22" spans="2:31" ht="12.75">
      <c r="B22" s="2" t="s">
        <v>4</v>
      </c>
      <c r="C22" s="1" t="s">
        <v>118</v>
      </c>
      <c r="D22" s="1">
        <v>2010</v>
      </c>
      <c r="E22" s="1"/>
      <c r="F22" s="1"/>
      <c r="G22" s="1"/>
      <c r="H22" s="1"/>
      <c r="I22" s="1"/>
      <c r="J22" s="1"/>
      <c r="K22" s="1"/>
      <c r="L22" s="1"/>
      <c r="M22" s="1"/>
      <c r="N22" s="17"/>
      <c r="O22" s="1"/>
      <c r="P22" s="1"/>
      <c r="Q22" s="1"/>
      <c r="R22" s="8"/>
      <c r="S22" s="8"/>
      <c r="T22" s="8"/>
      <c r="U22" s="8"/>
      <c r="V22" s="8"/>
      <c r="W22" s="4"/>
      <c r="X22" s="4"/>
      <c r="Y22" s="7"/>
      <c r="Z22" s="7"/>
      <c r="AA22" s="7"/>
      <c r="AB22" s="7"/>
      <c r="AC22" s="7"/>
      <c r="AD22" s="7"/>
      <c r="AE22" s="4"/>
    </row>
    <row r="23" spans="1:31" ht="12.75">
      <c r="A23">
        <v>6</v>
      </c>
      <c r="B23" s="2" t="s">
        <v>5</v>
      </c>
      <c r="C23" s="1" t="s">
        <v>63</v>
      </c>
      <c r="D23" s="1">
        <v>2007</v>
      </c>
      <c r="E23" s="1">
        <v>854988000</v>
      </c>
      <c r="F23" s="1" t="s">
        <v>122</v>
      </c>
      <c r="G23" s="1">
        <v>1899889000</v>
      </c>
      <c r="H23" s="1" t="s">
        <v>122</v>
      </c>
      <c r="I23" s="1">
        <v>24972.06</v>
      </c>
      <c r="J23" s="1" t="s">
        <v>122</v>
      </c>
      <c r="K23" s="1">
        <v>45218.75</v>
      </c>
      <c r="L23" s="1">
        <v>41343.8</v>
      </c>
      <c r="M23" s="1">
        <v>35098.32</v>
      </c>
      <c r="N23" s="17">
        <f>G23/L23/1000000</f>
        <v>0.04595341985980969</v>
      </c>
      <c r="O23" s="1">
        <v>6.096047</v>
      </c>
      <c r="P23" s="1">
        <v>3838.539</v>
      </c>
      <c r="Q23" s="1">
        <v>33342.86</v>
      </c>
      <c r="R23" s="9">
        <v>128.752</v>
      </c>
      <c r="S23" s="9">
        <v>4491.288</v>
      </c>
      <c r="T23" s="9">
        <f t="shared" si="1"/>
        <v>4620.04</v>
      </c>
      <c r="U23" s="9">
        <v>600.36</v>
      </c>
      <c r="V23" s="9">
        <v>225.822</v>
      </c>
      <c r="W23" s="4" t="s">
        <v>139</v>
      </c>
      <c r="X23" s="4" t="s">
        <v>143</v>
      </c>
      <c r="Y23" s="7">
        <f>IF(X23="rub",R23,R23*'Курс доллара'!$F$5)</f>
        <v>128.752</v>
      </c>
      <c r="Z23" s="7">
        <f>IF(X23="rub",S23,S23*'Курс доллара'!$F$5)</f>
        <v>4491.288</v>
      </c>
      <c r="AA23" s="7">
        <f>IF(X23="rub",T23,T23*'Курс доллара'!$F$5)</f>
        <v>4620.04</v>
      </c>
      <c r="AB23" s="7">
        <f>IF(X23="rub",U23,U23*'Курс доллара'!$C$5)</f>
        <v>600.36</v>
      </c>
      <c r="AC23" s="7">
        <f>IF(X23="rub",V23,V23*'Курс доллара'!$F$5)</f>
        <v>225.822</v>
      </c>
      <c r="AD23" s="7" t="str">
        <f t="shared" si="2"/>
        <v>рсбу</v>
      </c>
      <c r="AE23" s="4" t="s">
        <v>143</v>
      </c>
    </row>
    <row r="24" spans="2:31" ht="12.75">
      <c r="B24" s="2" t="s">
        <v>5</v>
      </c>
      <c r="C24" s="1" t="s">
        <v>63</v>
      </c>
      <c r="D24" s="1">
        <v>2008</v>
      </c>
      <c r="E24" s="1">
        <v>1042667000</v>
      </c>
      <c r="F24" s="1" t="s">
        <v>122</v>
      </c>
      <c r="G24" s="1">
        <v>3315205000</v>
      </c>
      <c r="H24" s="1" t="s">
        <v>122</v>
      </c>
      <c r="I24" s="1">
        <v>27687.98</v>
      </c>
      <c r="J24" s="1" t="s">
        <v>122</v>
      </c>
      <c r="K24" s="1">
        <v>49198.09</v>
      </c>
      <c r="L24" s="1">
        <v>50830.61</v>
      </c>
      <c r="M24" s="1">
        <v>37799.57</v>
      </c>
      <c r="N24" s="17">
        <f>G24/L24/1000000</f>
        <v>0.06522064165667105</v>
      </c>
      <c r="O24" s="1">
        <v>6.505401</v>
      </c>
      <c r="P24" s="1">
        <v>4271.61</v>
      </c>
      <c r="Q24" s="1">
        <v>35909.03</v>
      </c>
      <c r="R24" s="9">
        <v>120.945</v>
      </c>
      <c r="S24" s="9">
        <v>4052.996</v>
      </c>
      <c r="T24" s="9">
        <f t="shared" si="1"/>
        <v>4173.941</v>
      </c>
      <c r="U24" s="9">
        <v>282.07</v>
      </c>
      <c r="V24" s="9">
        <v>302.487</v>
      </c>
      <c r="W24" s="4" t="s">
        <v>139</v>
      </c>
      <c r="X24" s="4" t="s">
        <v>143</v>
      </c>
      <c r="Y24" s="7">
        <f>IF(X24="rub",R24,R24*'Курс доллара'!$F$6)</f>
        <v>120.945</v>
      </c>
      <c r="Z24" s="7">
        <f>IF(X24="rub",S24,S24*'Курс доллара'!$F$6)</f>
        <v>4052.996</v>
      </c>
      <c r="AA24" s="7">
        <f>IF(X24="rub",T24,T24*'Курс доллара'!$F$6)</f>
        <v>4173.941</v>
      </c>
      <c r="AB24" s="7">
        <f>IF(X24="rub",U24,U24*'Курс доллара'!$C$6)</f>
        <v>282.07</v>
      </c>
      <c r="AC24" s="7">
        <f>IF(X24="rub",V24,V24*'Курс доллара'!$F$6)</f>
        <v>302.487</v>
      </c>
      <c r="AD24" s="7" t="str">
        <f t="shared" si="2"/>
        <v>рсбу</v>
      </c>
      <c r="AE24" s="4" t="s">
        <v>143</v>
      </c>
    </row>
    <row r="25" spans="2:31" ht="12.75">
      <c r="B25" s="2" t="s">
        <v>5</v>
      </c>
      <c r="C25" s="1" t="s">
        <v>63</v>
      </c>
      <c r="D25" s="1">
        <v>2009</v>
      </c>
      <c r="E25" s="1">
        <v>1133380000</v>
      </c>
      <c r="F25" s="1" t="s">
        <v>122</v>
      </c>
      <c r="G25" s="1">
        <v>1790992000</v>
      </c>
      <c r="H25" s="1">
        <v>2761000000</v>
      </c>
      <c r="I25" s="1">
        <v>47499</v>
      </c>
      <c r="J25" s="1">
        <v>1247</v>
      </c>
      <c r="K25" s="1">
        <v>58583</v>
      </c>
      <c r="L25" s="1">
        <v>50295</v>
      </c>
      <c r="M25" s="1">
        <v>48541.94</v>
      </c>
      <c r="N25" s="17">
        <f t="shared" si="0"/>
        <v>0.05489611293369122</v>
      </c>
      <c r="O25" s="1">
        <v>3.458863</v>
      </c>
      <c r="P25" s="1">
        <v>1498</v>
      </c>
      <c r="Q25" s="1">
        <v>47520</v>
      </c>
      <c r="R25" s="9">
        <v>3366</v>
      </c>
      <c r="S25" s="9">
        <v>3057</v>
      </c>
      <c r="T25" s="9">
        <f t="shared" si="1"/>
        <v>6423</v>
      </c>
      <c r="U25" s="9">
        <v>598</v>
      </c>
      <c r="V25" s="9">
        <v>272</v>
      </c>
      <c r="W25" s="4" t="s">
        <v>144</v>
      </c>
      <c r="X25" s="4" t="s">
        <v>143</v>
      </c>
      <c r="Y25" s="7">
        <f>IF(X25="rub",R25,R25*'Курс доллара'!$F$7)</f>
        <v>3366</v>
      </c>
      <c r="Z25" s="7">
        <f>IF(X25="rub",S25,S25*'Курс доллара'!$F$7)</f>
        <v>3057</v>
      </c>
      <c r="AA25" s="7">
        <f>IF(X25="rub",T25,T25*'Курс доллара'!$F$7)</f>
        <v>6423</v>
      </c>
      <c r="AB25" s="7">
        <f>IF(X25="rub",U25,U25*'Курс доллара'!$C$7)</f>
        <v>598</v>
      </c>
      <c r="AC25" s="7">
        <f>IF(X25="rub",V25,V25*'Курс доллара'!$F$7)</f>
        <v>272</v>
      </c>
      <c r="AD25" s="7" t="str">
        <f t="shared" si="2"/>
        <v>мсфо</v>
      </c>
      <c r="AE25" s="4" t="s">
        <v>143</v>
      </c>
    </row>
    <row r="26" spans="2:31" ht="12.75">
      <c r="B26" s="2" t="s">
        <v>5</v>
      </c>
      <c r="C26" s="1" t="s">
        <v>63</v>
      </c>
      <c r="D26" s="1">
        <v>2010</v>
      </c>
      <c r="E26" s="1">
        <v>1237000000</v>
      </c>
      <c r="F26" s="1"/>
      <c r="G26" s="1"/>
      <c r="H26" s="1">
        <v>2791000000</v>
      </c>
      <c r="I26" s="1">
        <v>49023</v>
      </c>
      <c r="J26" s="1"/>
      <c r="K26" s="1">
        <v>57806</v>
      </c>
      <c r="L26" s="1">
        <v>62835</v>
      </c>
      <c r="M26" s="1">
        <v>50119</v>
      </c>
      <c r="N26" s="17">
        <f t="shared" si="0"/>
        <v>0.044417919949072966</v>
      </c>
      <c r="O26" s="1"/>
      <c r="P26" s="1">
        <v>160</v>
      </c>
      <c r="Q26" s="1"/>
      <c r="R26" s="9">
        <v>3497</v>
      </c>
      <c r="S26" s="9">
        <v>4116</v>
      </c>
      <c r="T26" s="9">
        <f t="shared" si="1"/>
        <v>7613</v>
      </c>
      <c r="U26" s="9">
        <v>569</v>
      </c>
      <c r="V26" s="9">
        <v>74</v>
      </c>
      <c r="W26" s="4" t="s">
        <v>144</v>
      </c>
      <c r="X26" s="4" t="s">
        <v>143</v>
      </c>
      <c r="Y26" s="7">
        <f>IF(X26="rub",R26,R26*'Курс доллара'!$F$8)</f>
        <v>3497</v>
      </c>
      <c r="Z26" s="7">
        <f>IF(X26="rub",S26,S26*'Курс доллара'!$F$8)</f>
        <v>4116</v>
      </c>
      <c r="AA26" s="7">
        <f>IF(X26="rub",T26,T26*'Курс доллара'!$F$8)</f>
        <v>7613</v>
      </c>
      <c r="AB26" s="7">
        <f>IF(X26="rub",U26,U26*'Курс доллара'!$C$8)</f>
        <v>569</v>
      </c>
      <c r="AC26" s="7">
        <f>IF(X26="rub",V26,V26*'Курс доллара'!$F$8)</f>
        <v>74</v>
      </c>
      <c r="AD26" s="7" t="str">
        <f>W26</f>
        <v>мсфо</v>
      </c>
      <c r="AE26" s="4" t="s">
        <v>143</v>
      </c>
    </row>
    <row r="27" spans="1:31" ht="12.75">
      <c r="A27">
        <v>7</v>
      </c>
      <c r="B27" s="2" t="s">
        <v>6</v>
      </c>
      <c r="C27" s="1" t="s">
        <v>64</v>
      </c>
      <c r="D27" s="1">
        <v>2007</v>
      </c>
      <c r="E27" s="1">
        <v>525051012</v>
      </c>
      <c r="F27" s="1">
        <v>332310767</v>
      </c>
      <c r="G27" s="1">
        <v>3323108000</v>
      </c>
      <c r="H27" s="1">
        <v>3006000000</v>
      </c>
      <c r="I27" s="1">
        <v>22047</v>
      </c>
      <c r="J27" s="1">
        <v>399</v>
      </c>
      <c r="K27" s="1">
        <v>51482</v>
      </c>
      <c r="L27" s="1">
        <v>30036</v>
      </c>
      <c r="M27" s="1">
        <v>24938</v>
      </c>
      <c r="N27" s="17">
        <f t="shared" si="0"/>
        <v>0.10007990411506193</v>
      </c>
      <c r="O27" s="1">
        <v>5.437808</v>
      </c>
      <c r="P27" s="1">
        <v>15616</v>
      </c>
      <c r="Q27" s="1">
        <v>41351</v>
      </c>
      <c r="R27" s="7">
        <v>5538</v>
      </c>
      <c r="S27" s="7">
        <v>5727</v>
      </c>
      <c r="T27" s="7">
        <f t="shared" si="1"/>
        <v>11265</v>
      </c>
      <c r="U27" s="7">
        <v>495</v>
      </c>
      <c r="V27" s="7">
        <v>1175</v>
      </c>
      <c r="W27" s="4" t="s">
        <v>144</v>
      </c>
      <c r="X27" s="4" t="s">
        <v>143</v>
      </c>
      <c r="Y27" s="7">
        <f>IF(X27="rub",R27,R27*'Курс доллара'!$F$5)</f>
        <v>5538</v>
      </c>
      <c r="Z27" s="7">
        <f>IF(X27="rub",S27,S27*'Курс доллара'!$F$5)</f>
        <v>5727</v>
      </c>
      <c r="AA27" s="7">
        <f>IF(X27="rub",T27,T27*'Курс доллара'!$F$5)</f>
        <v>11265</v>
      </c>
      <c r="AB27" s="7">
        <f>IF(X27="rub",U27,U27*'Курс доллара'!$C$5)</f>
        <v>495</v>
      </c>
      <c r="AC27" s="7">
        <f>IF(X27="rub",V27,V27*'Курс доллара'!$F$5)</f>
        <v>1175</v>
      </c>
      <c r="AD27" s="7" t="str">
        <f t="shared" si="2"/>
        <v>мсфо</v>
      </c>
      <c r="AE27" s="4" t="s">
        <v>143</v>
      </c>
    </row>
    <row r="28" spans="2:31" ht="12.75">
      <c r="B28" s="2" t="s">
        <v>6</v>
      </c>
      <c r="C28" s="1" t="s">
        <v>64</v>
      </c>
      <c r="D28" s="1">
        <v>2008</v>
      </c>
      <c r="E28" s="1">
        <v>442803065</v>
      </c>
      <c r="F28" s="1">
        <v>295201988</v>
      </c>
      <c r="G28" s="1">
        <v>2952019000</v>
      </c>
      <c r="H28" s="1">
        <v>2906000000</v>
      </c>
      <c r="I28" s="1">
        <v>23353</v>
      </c>
      <c r="J28" s="1">
        <v>3968</v>
      </c>
      <c r="K28" s="1">
        <v>54813</v>
      </c>
      <c r="L28" s="1">
        <v>32063</v>
      </c>
      <c r="M28" s="1">
        <v>26244</v>
      </c>
      <c r="N28" s="17">
        <f t="shared" si="0"/>
        <v>0.09063406418613354</v>
      </c>
      <c r="O28" s="1">
        <v>4.870999</v>
      </c>
      <c r="P28" s="1">
        <v>17027</v>
      </c>
      <c r="Q28" s="1">
        <v>43938</v>
      </c>
      <c r="R28" s="7">
        <v>6688</v>
      </c>
      <c r="S28" s="7">
        <v>5467</v>
      </c>
      <c r="T28" s="7">
        <f t="shared" si="1"/>
        <v>12155</v>
      </c>
      <c r="U28" s="7">
        <v>1678</v>
      </c>
      <c r="V28" s="7">
        <v>1679</v>
      </c>
      <c r="W28" s="4" t="s">
        <v>144</v>
      </c>
      <c r="X28" s="4" t="s">
        <v>143</v>
      </c>
      <c r="Y28" s="7">
        <f>IF(X28="rub",R28,R28*'Курс доллара'!$F$6)</f>
        <v>6688</v>
      </c>
      <c r="Z28" s="7">
        <f>IF(X28="rub",S28,S28*'Курс доллара'!$F$6)</f>
        <v>5467</v>
      </c>
      <c r="AA28" s="7">
        <f>IF(X28="rub",T28,T28*'Курс доллара'!$F$6)</f>
        <v>12155</v>
      </c>
      <c r="AB28" s="7">
        <f>IF(X28="rub",U28,U28*'Курс доллара'!$C$6)</f>
        <v>1678</v>
      </c>
      <c r="AC28" s="7">
        <f>IF(X28="rub",V28,V28*'Курс доллара'!$F$6)</f>
        <v>1679</v>
      </c>
      <c r="AD28" s="7" t="str">
        <f t="shared" si="2"/>
        <v>мсфо</v>
      </c>
      <c r="AE28" s="4" t="s">
        <v>143</v>
      </c>
    </row>
    <row r="29" spans="2:31" ht="12.75">
      <c r="B29" s="2" t="s">
        <v>6</v>
      </c>
      <c r="C29" s="1" t="s">
        <v>64</v>
      </c>
      <c r="D29" s="1">
        <v>2009</v>
      </c>
      <c r="E29" s="1">
        <v>639385897</v>
      </c>
      <c r="F29" s="1">
        <v>426257214</v>
      </c>
      <c r="G29" s="1">
        <v>4262572000</v>
      </c>
      <c r="H29" s="1">
        <v>4192000000</v>
      </c>
      <c r="I29" s="1">
        <v>26825</v>
      </c>
      <c r="J29" s="1">
        <v>8345</v>
      </c>
      <c r="K29" s="1">
        <v>50750</v>
      </c>
      <c r="L29" s="1">
        <v>32759</v>
      </c>
      <c r="M29" s="1">
        <v>30684</v>
      </c>
      <c r="N29" s="17">
        <f t="shared" si="0"/>
        <v>0.12796483409139472</v>
      </c>
      <c r="O29" s="1">
        <v>7.942177</v>
      </c>
      <c r="P29" s="1">
        <v>10404</v>
      </c>
      <c r="Q29" s="1">
        <v>40125</v>
      </c>
      <c r="R29" s="7">
        <v>7502</v>
      </c>
      <c r="S29" s="7">
        <v>6971</v>
      </c>
      <c r="T29" s="7">
        <f t="shared" si="1"/>
        <v>14473</v>
      </c>
      <c r="U29" s="7">
        <v>2033</v>
      </c>
      <c r="V29" s="7">
        <f>1353+233+248</f>
        <v>1834</v>
      </c>
      <c r="W29" s="4" t="s">
        <v>144</v>
      </c>
      <c r="X29" s="4" t="s">
        <v>143</v>
      </c>
      <c r="Y29" s="7">
        <f>IF(X29="rub",R29,R29*'Курс доллара'!$F$7)</f>
        <v>7502</v>
      </c>
      <c r="Z29" s="7">
        <f>IF(X29="rub",S29,S29*'Курс доллара'!$F$7)</f>
        <v>6971</v>
      </c>
      <c r="AA29" s="7">
        <f>IF(X29="rub",T29,T29*'Курс доллара'!$F$7)</f>
        <v>14473</v>
      </c>
      <c r="AB29" s="7">
        <f>IF(X29="rub",U29,U29*'Курс доллара'!$C$7)</f>
        <v>2033</v>
      </c>
      <c r="AC29" s="7">
        <f>IF(X29="rub",V29,V29*'Курс доллара'!$F$7)</f>
        <v>1834</v>
      </c>
      <c r="AD29" s="7" t="str">
        <f t="shared" si="2"/>
        <v>мсфо</v>
      </c>
      <c r="AE29" s="4" t="s">
        <v>143</v>
      </c>
    </row>
    <row r="30" spans="2:31" ht="12.75">
      <c r="B30" s="2" t="s">
        <v>6</v>
      </c>
      <c r="C30" s="1" t="s">
        <v>64</v>
      </c>
      <c r="D30" s="1">
        <v>2010</v>
      </c>
      <c r="E30" s="1">
        <v>2050000000</v>
      </c>
      <c r="F30" s="1"/>
      <c r="G30" s="1"/>
      <c r="H30" s="1">
        <v>3900000000</v>
      </c>
      <c r="I30" s="1">
        <v>29065</v>
      </c>
      <c r="J30" s="1"/>
      <c r="K30" s="1">
        <v>36142</v>
      </c>
      <c r="L30" s="1">
        <v>35501</v>
      </c>
      <c r="M30" s="1">
        <v>30293</v>
      </c>
      <c r="N30" s="17">
        <f t="shared" si="0"/>
        <v>0.10985606039266499</v>
      </c>
      <c r="O30" s="1"/>
      <c r="P30" s="1">
        <f>14820+3619</f>
        <v>18439</v>
      </c>
      <c r="Q30" s="1">
        <v>42899</v>
      </c>
      <c r="R30" s="7">
        <v>7265</v>
      </c>
      <c r="S30" s="7">
        <v>6354</v>
      </c>
      <c r="T30" s="7">
        <f t="shared" si="1"/>
        <v>13619</v>
      </c>
      <c r="U30" s="7">
        <v>2321</v>
      </c>
      <c r="V30" s="7">
        <f>984+205+167</f>
        <v>1356</v>
      </c>
      <c r="W30" s="4" t="s">
        <v>144</v>
      </c>
      <c r="X30" s="4" t="s">
        <v>143</v>
      </c>
      <c r="Y30" s="7">
        <f>IF(X30="rub",R30,R30*'Курс доллара'!$F$8)</f>
        <v>7265</v>
      </c>
      <c r="Z30" s="7">
        <f>IF(X30="rub",S30,S30*'Курс доллара'!$F$8)</f>
        <v>6354</v>
      </c>
      <c r="AA30" s="7">
        <f>IF(X30="rub",T30,T30*'Курс доллара'!$F$8)</f>
        <v>13619</v>
      </c>
      <c r="AB30" s="7">
        <f>IF(X30="rub",U30,U30*'Курс доллара'!$C$8)</f>
        <v>2321</v>
      </c>
      <c r="AC30" s="7">
        <f>IF(X30="rub",V30,V30*'Курс доллара'!$F$8)</f>
        <v>1356</v>
      </c>
      <c r="AD30" s="7" t="str">
        <f>W30</f>
        <v>мсфо</v>
      </c>
      <c r="AE30" s="4" t="s">
        <v>143</v>
      </c>
    </row>
    <row r="31" spans="1:31" ht="12.75">
      <c r="A31">
        <v>8</v>
      </c>
      <c r="B31" s="2" t="s">
        <v>7</v>
      </c>
      <c r="C31" s="1" t="s">
        <v>65</v>
      </c>
      <c r="D31" s="1">
        <v>2007</v>
      </c>
      <c r="E31" s="1">
        <v>622000000</v>
      </c>
      <c r="F31" s="1" t="s">
        <v>122</v>
      </c>
      <c r="G31" s="1">
        <v>6216338000</v>
      </c>
      <c r="H31" s="1">
        <v>6055000000</v>
      </c>
      <c r="I31" s="1">
        <v>24791.48</v>
      </c>
      <c r="J31" s="1">
        <v>-4842.506</v>
      </c>
      <c r="K31" s="1">
        <v>48570.71</v>
      </c>
      <c r="L31" s="1">
        <v>33513.31</v>
      </c>
      <c r="M31" s="1">
        <v>29247.32</v>
      </c>
      <c r="N31" s="17">
        <f t="shared" si="0"/>
        <v>0.18067448425715038</v>
      </c>
      <c r="O31" s="1">
        <v>14.11073</v>
      </c>
      <c r="P31" s="1">
        <v>13625.39</v>
      </c>
      <c r="Q31" s="1">
        <v>18836.09</v>
      </c>
      <c r="R31" s="8">
        <v>50.356</v>
      </c>
      <c r="S31" s="8">
        <v>375.976</v>
      </c>
      <c r="T31" s="8">
        <f t="shared" si="1"/>
        <v>426.332</v>
      </c>
      <c r="U31" s="8">
        <v>41.317</v>
      </c>
      <c r="V31" s="8">
        <v>23.04</v>
      </c>
      <c r="W31" s="4" t="s">
        <v>144</v>
      </c>
      <c r="X31" s="4" t="s">
        <v>142</v>
      </c>
      <c r="Y31" s="7">
        <f>IF(X31="rub",R31,R31*'Курс доллара'!$F$5)</f>
        <v>1280.9886594</v>
      </c>
      <c r="Z31" s="7">
        <f>IF(X31="rub",S31,S31*'Курс доллара'!$F$5)</f>
        <v>9564.3218724</v>
      </c>
      <c r="AA31" s="7">
        <f>IF(X31="rub",T31,T31*'Курс доллара'!$F$5)</f>
        <v>10845.3105318</v>
      </c>
      <c r="AB31" s="7">
        <f>IF(X31="rub",U31,U31*'Курс доллара'!$C$5)</f>
        <v>1014.1753454</v>
      </c>
      <c r="AC31" s="7">
        <f>IF(X31="rub",V31,V31*'Курс доллара'!$F$5)</f>
        <v>586.106496</v>
      </c>
      <c r="AD31" s="7" t="str">
        <f t="shared" si="2"/>
        <v>мсфо</v>
      </c>
      <c r="AE31" s="4" t="s">
        <v>143</v>
      </c>
    </row>
    <row r="32" spans="2:31" ht="12.75">
      <c r="B32" s="2" t="s">
        <v>7</v>
      </c>
      <c r="C32" s="1" t="s">
        <v>65</v>
      </c>
      <c r="D32" s="1">
        <v>2008</v>
      </c>
      <c r="E32" s="1">
        <v>267000000</v>
      </c>
      <c r="F32" s="1" t="s">
        <v>122</v>
      </c>
      <c r="G32" s="1">
        <v>2668096000</v>
      </c>
      <c r="H32" s="1">
        <v>2493000000</v>
      </c>
      <c r="I32" s="1">
        <v>25702.72</v>
      </c>
      <c r="J32" s="1">
        <v>-2997.593</v>
      </c>
      <c r="K32" s="1">
        <v>62087.07</v>
      </c>
      <c r="L32" s="1">
        <v>30340.54</v>
      </c>
      <c r="M32" s="1">
        <v>31019.89</v>
      </c>
      <c r="N32" s="17">
        <f t="shared" si="0"/>
        <v>0.08216729168300894</v>
      </c>
      <c r="O32" s="1">
        <v>4.91007</v>
      </c>
      <c r="P32" s="1">
        <v>23069.23</v>
      </c>
      <c r="Q32" s="1">
        <v>24248.52</v>
      </c>
      <c r="R32" s="8">
        <v>95.862</v>
      </c>
      <c r="S32" s="8">
        <v>219.778</v>
      </c>
      <c r="T32" s="8">
        <f t="shared" si="1"/>
        <v>315.64</v>
      </c>
      <c r="U32" s="8">
        <v>39.469</v>
      </c>
      <c r="V32" s="8">
        <v>57.874</v>
      </c>
      <c r="W32" s="4" t="s">
        <v>144</v>
      </c>
      <c r="X32" s="4" t="s">
        <v>142</v>
      </c>
      <c r="Y32" s="7">
        <f>IF(X32="rub",R32,R32*'Курс доллара'!$F$6)</f>
        <v>2584.7558645999998</v>
      </c>
      <c r="Z32" s="7">
        <f>IF(X32="rub",S32,S32*'Курс доллара'!$F$6)</f>
        <v>5925.9401474</v>
      </c>
      <c r="AA32" s="7">
        <f>IF(X32="rub",T32,T32*'Курс доллара'!$F$6)</f>
        <v>8510.696012</v>
      </c>
      <c r="AB32" s="7">
        <f>IF(X32="rub",U32,U32*'Курс доллара'!$C$6)</f>
        <v>1159.6150076000001</v>
      </c>
      <c r="AC32" s="7">
        <f>IF(X32="rub",V32,V32*'Курс доллара'!$F$6)</f>
        <v>1560.4740242</v>
      </c>
      <c r="AD32" s="7" t="str">
        <f t="shared" si="2"/>
        <v>мсфо</v>
      </c>
      <c r="AE32" s="4" t="s">
        <v>143</v>
      </c>
    </row>
    <row r="33" spans="2:31" ht="12.75">
      <c r="B33" s="2" t="s">
        <v>7</v>
      </c>
      <c r="C33" s="1" t="s">
        <v>65</v>
      </c>
      <c r="D33" s="1">
        <v>2009</v>
      </c>
      <c r="E33" s="1">
        <v>17000000</v>
      </c>
      <c r="F33" s="1" t="s">
        <v>122</v>
      </c>
      <c r="G33" s="1">
        <v>172889000</v>
      </c>
      <c r="H33" s="1">
        <v>2031000000</v>
      </c>
      <c r="I33" s="1">
        <v>25480.73</v>
      </c>
      <c r="J33" s="1">
        <v>5967.533</v>
      </c>
      <c r="K33" s="1">
        <v>58996.94</v>
      </c>
      <c r="L33" s="1">
        <v>31045.95</v>
      </c>
      <c r="M33" s="1">
        <v>30912.23</v>
      </c>
      <c r="N33" s="17">
        <f t="shared" si="0"/>
        <v>0.06541916095336107</v>
      </c>
      <c r="O33" s="1">
        <v>1.282276</v>
      </c>
      <c r="P33" s="1">
        <v>22100.2</v>
      </c>
      <c r="Q33" s="1">
        <v>26012.53</v>
      </c>
      <c r="R33" s="8">
        <v>82.275</v>
      </c>
      <c r="S33" s="8">
        <v>164.784</v>
      </c>
      <c r="T33" s="8">
        <f t="shared" si="1"/>
        <v>247.059</v>
      </c>
      <c r="U33" s="8">
        <v>71.599</v>
      </c>
      <c r="V33" s="8">
        <v>57.724</v>
      </c>
      <c r="W33" s="4" t="s">
        <v>144</v>
      </c>
      <c r="X33" s="4" t="s">
        <v>142</v>
      </c>
      <c r="Y33" s="7">
        <f>IF(X33="rub",R33,R33*'Курс доллара'!$F$7)</f>
        <v>2452.8069825000002</v>
      </c>
      <c r="Z33" s="7">
        <f>IF(X33="rub",S33,S33*'Курс доллара'!$F$7)</f>
        <v>4912.5900432</v>
      </c>
      <c r="AA33" s="7">
        <f>IF(X33="rub",T33,T33*'Курс доллара'!$F$7)</f>
        <v>7365.3970257</v>
      </c>
      <c r="AB33" s="7">
        <f>IF(X33="rub",U33,U33*'Курс доллара'!$C$7)</f>
        <v>2165.4544758</v>
      </c>
      <c r="AC33" s="7">
        <f>IF(X33="rub",V33,V33*'Курс доллара'!$F$7)</f>
        <v>1720.8852052</v>
      </c>
      <c r="AD33" s="7" t="str">
        <f t="shared" si="2"/>
        <v>мсфо</v>
      </c>
      <c r="AE33" s="4" t="s">
        <v>143</v>
      </c>
    </row>
    <row r="34" spans="2:31" ht="12.75">
      <c r="B34" s="2" t="s">
        <v>7</v>
      </c>
      <c r="C34" s="1" t="s">
        <v>65</v>
      </c>
      <c r="D34" s="1">
        <v>2010</v>
      </c>
      <c r="E34" s="1">
        <v>17294000</v>
      </c>
      <c r="F34" s="1"/>
      <c r="G34" s="1">
        <v>587898000</v>
      </c>
      <c r="H34" s="1" t="s">
        <v>140</v>
      </c>
      <c r="I34" s="1">
        <v>22879.222</v>
      </c>
      <c r="J34" s="1"/>
      <c r="K34" s="1">
        <v>49686.799</v>
      </c>
      <c r="L34" s="1">
        <v>24748.173</v>
      </c>
      <c r="M34" s="1">
        <v>28226.963</v>
      </c>
      <c r="N34" s="17">
        <f>G34/L34/1000000</f>
        <v>0.02375520811172607</v>
      </c>
      <c r="O34" s="1"/>
      <c r="P34" s="1">
        <v>49686.799</v>
      </c>
      <c r="Q34" s="1">
        <f>10265.91+11055.821</f>
        <v>21321.731</v>
      </c>
      <c r="R34" s="8">
        <v>1745.43</v>
      </c>
      <c r="S34" s="8">
        <v>3399.22</v>
      </c>
      <c r="T34" s="8">
        <f t="shared" si="1"/>
        <v>5144.65</v>
      </c>
      <c r="U34" s="8">
        <v>282.521</v>
      </c>
      <c r="V34" s="8">
        <v>933.93</v>
      </c>
      <c r="W34" s="4" t="s">
        <v>139</v>
      </c>
      <c r="X34" s="4" t="s">
        <v>143</v>
      </c>
      <c r="Y34" s="7">
        <f>IF(X34="rub",R34,R34*'Курс доллара'!$F$8)</f>
        <v>1745.43</v>
      </c>
      <c r="Z34" s="7">
        <f>IF(X34="rub",S34,S34*'Курс доллара'!$F$8)</f>
        <v>3399.22</v>
      </c>
      <c r="AA34" s="7">
        <f>IF(X34="rub",T34,T34*'Курс доллара'!$F$8)</f>
        <v>5144.65</v>
      </c>
      <c r="AB34" s="7">
        <f>IF(X34="rub",U34,U34*'Курс доллара'!$C$8)</f>
        <v>282.521</v>
      </c>
      <c r="AC34" s="7">
        <f>IF(X34="rub",V34,V34*'Курс доллара'!$F$8)</f>
        <v>933.93</v>
      </c>
      <c r="AD34" s="7" t="str">
        <f t="shared" si="2"/>
        <v>рсбу</v>
      </c>
      <c r="AE34" s="4" t="s">
        <v>143</v>
      </c>
    </row>
    <row r="35" spans="1:31" ht="12.75">
      <c r="A35">
        <v>9</v>
      </c>
      <c r="B35" s="2" t="s">
        <v>8</v>
      </c>
      <c r="C35" s="1" t="s">
        <v>66</v>
      </c>
      <c r="D35" s="1">
        <v>2007</v>
      </c>
      <c r="E35" s="1">
        <v>9010000000</v>
      </c>
      <c r="F35" s="1" t="s">
        <v>122</v>
      </c>
      <c r="G35" s="1">
        <v>18225000000</v>
      </c>
      <c r="H35" s="1">
        <v>36328376000</v>
      </c>
      <c r="I35" s="1">
        <v>106715</v>
      </c>
      <c r="J35" s="1">
        <v>-15393.9</v>
      </c>
      <c r="K35" s="1">
        <v>2281867</v>
      </c>
      <c r="L35" s="1">
        <v>180430.8</v>
      </c>
      <c r="M35" s="1">
        <v>399337.3</v>
      </c>
      <c r="N35" s="17">
        <f t="shared" si="0"/>
        <v>0.20134243155824838</v>
      </c>
      <c r="O35" s="1">
        <v>2.04121</v>
      </c>
      <c r="P35" s="1">
        <v>927195.7</v>
      </c>
      <c r="Q35" s="1" t="s">
        <v>122</v>
      </c>
      <c r="R35" s="7">
        <v>108</v>
      </c>
      <c r="S35" s="8">
        <v>1819</v>
      </c>
      <c r="T35" s="7">
        <f t="shared" si="1"/>
        <v>1927</v>
      </c>
      <c r="U35" s="7">
        <v>5160</v>
      </c>
      <c r="V35" s="7">
        <v>2831</v>
      </c>
      <c r="W35" s="4" t="s">
        <v>144</v>
      </c>
      <c r="X35" s="4" t="s">
        <v>142</v>
      </c>
      <c r="Y35" s="7">
        <f>IF(X35="rub",R35,R35*'Курс доллара'!$F$5)</f>
        <v>2747.3741999999997</v>
      </c>
      <c r="Z35" s="7">
        <f>IF(X35="rub",S35,S35*'Курс доллара'!$F$5)</f>
        <v>46272.90435</v>
      </c>
      <c r="AA35" s="7">
        <f>IF(X35="rub",T35,T35*'Курс доллара'!$F$5)</f>
        <v>49020.278549999995</v>
      </c>
      <c r="AB35" s="7">
        <f>IF(X35="rub",U35,U35*'Курс доллара'!$C$5)</f>
        <v>126658.39199999999</v>
      </c>
      <c r="AC35" s="7">
        <f>IF(X35="rub",V35,V35*'Курс доллара'!$F$5)</f>
        <v>72016.81814999999</v>
      </c>
      <c r="AD35" s="7" t="str">
        <f t="shared" si="2"/>
        <v>мсфо</v>
      </c>
      <c r="AE35" s="4" t="s">
        <v>143</v>
      </c>
    </row>
    <row r="36" spans="2:31" ht="12.75">
      <c r="B36" s="2" t="s">
        <v>8</v>
      </c>
      <c r="C36" s="1" t="s">
        <v>66</v>
      </c>
      <c r="D36" s="1">
        <v>2008</v>
      </c>
      <c r="E36" s="1">
        <v>3006000000</v>
      </c>
      <c r="F36" s="1" t="s">
        <v>122</v>
      </c>
      <c r="G36" s="1">
        <v>26894000000</v>
      </c>
      <c r="H36" s="1">
        <v>6404927200</v>
      </c>
      <c r="I36" s="1">
        <v>40546.46</v>
      </c>
      <c r="J36" s="1">
        <v>160783.9</v>
      </c>
      <c r="K36" s="1">
        <v>3700284</v>
      </c>
      <c r="L36" s="1">
        <v>280762.3</v>
      </c>
      <c r="M36" s="1">
        <v>389734.1</v>
      </c>
      <c r="N36" s="17">
        <f t="shared" si="0"/>
        <v>0.022812632607725467</v>
      </c>
      <c r="O36" s="1">
        <v>0.1995816</v>
      </c>
      <c r="P36" s="1">
        <v>2025441</v>
      </c>
      <c r="Q36" s="1" t="s">
        <v>122</v>
      </c>
      <c r="R36" s="7">
        <v>2800</v>
      </c>
      <c r="S36" s="8">
        <v>18100</v>
      </c>
      <c r="T36" s="7">
        <f t="shared" si="1"/>
        <v>20900</v>
      </c>
      <c r="U36" s="7">
        <v>416100</v>
      </c>
      <c r="V36" s="7">
        <v>120200</v>
      </c>
      <c r="W36" s="4" t="s">
        <v>144</v>
      </c>
      <c r="X36" s="4" t="s">
        <v>143</v>
      </c>
      <c r="Y36" s="7">
        <f>IF(X36="rub",R36,R36*'Курс доллара'!$F$6)</f>
        <v>2800</v>
      </c>
      <c r="Z36" s="7">
        <f>IF(X36="rub",S36,S36*'Курс доллара'!$F$6)</f>
        <v>18100</v>
      </c>
      <c r="AA36" s="7">
        <f>IF(X36="rub",T36,T36*'Курс доллара'!$F$6)</f>
        <v>20900</v>
      </c>
      <c r="AB36" s="7">
        <f>IF(X36="rub",U36,U36*'Курс доллара'!$C$6)</f>
        <v>416100</v>
      </c>
      <c r="AC36" s="7">
        <f>IF(X36="rub",V36,V36*'Курс доллара'!$F$6)</f>
        <v>120200</v>
      </c>
      <c r="AD36" s="7" t="str">
        <f t="shared" si="2"/>
        <v>мсфо</v>
      </c>
      <c r="AE36" s="4" t="s">
        <v>143</v>
      </c>
    </row>
    <row r="37" spans="2:31" ht="12.75">
      <c r="B37" s="2" t="s">
        <v>8</v>
      </c>
      <c r="C37" s="1" t="s">
        <v>66</v>
      </c>
      <c r="D37" s="1">
        <v>2009</v>
      </c>
      <c r="E37" s="1">
        <v>6067000000</v>
      </c>
      <c r="F37" s="1" t="s">
        <v>122</v>
      </c>
      <c r="G37" s="1">
        <v>23750000000</v>
      </c>
      <c r="H37" s="1">
        <v>-63400000000</v>
      </c>
      <c r="I37" s="1">
        <v>30700</v>
      </c>
      <c r="J37" s="1">
        <v>-309200</v>
      </c>
      <c r="K37" s="1">
        <v>3610800</v>
      </c>
      <c r="L37" s="1">
        <v>391200</v>
      </c>
      <c r="M37" s="1">
        <v>502300</v>
      </c>
      <c r="N37" s="17">
        <f t="shared" si="0"/>
        <v>-0.16206543967280165</v>
      </c>
      <c r="O37" s="1">
        <v>-1.734353</v>
      </c>
      <c r="P37" s="1">
        <v>1438900</v>
      </c>
      <c r="Q37" s="1" t="s">
        <v>122</v>
      </c>
      <c r="R37" s="7">
        <v>8400</v>
      </c>
      <c r="S37" s="8">
        <v>-68300</v>
      </c>
      <c r="T37" s="7">
        <f t="shared" si="1"/>
        <v>-59900</v>
      </c>
      <c r="U37" s="7">
        <v>260200</v>
      </c>
      <c r="V37" s="7">
        <v>219100</v>
      </c>
      <c r="W37" s="4" t="s">
        <v>144</v>
      </c>
      <c r="X37" s="4" t="s">
        <v>143</v>
      </c>
      <c r="Y37" s="7">
        <f>IF(X37="rub",R37,R37*'Курс доллара'!$F$7)</f>
        <v>8400</v>
      </c>
      <c r="Z37" s="7">
        <f>IF(X37="rub",S37,S37*'Курс доллара'!$F$7)</f>
        <v>-68300</v>
      </c>
      <c r="AA37" s="7">
        <f>IF(X37="rub",T37,T37*'Курс доллара'!$F$7)</f>
        <v>-59900</v>
      </c>
      <c r="AB37" s="7">
        <f>IF(X37="rub",U37,U37*'Курс доллара'!$C$7)</f>
        <v>260200</v>
      </c>
      <c r="AC37" s="7">
        <f>IF(X37="rub",V37,V37*'Курс доллара'!$F$7)</f>
        <v>219100</v>
      </c>
      <c r="AD37" s="7" t="str">
        <f t="shared" si="2"/>
        <v>мсфо</v>
      </c>
      <c r="AE37" s="4" t="s">
        <v>143</v>
      </c>
    </row>
    <row r="38" spans="2:31" ht="12.75">
      <c r="B38" s="2" t="s">
        <v>8</v>
      </c>
      <c r="C38" s="1" t="s">
        <v>66</v>
      </c>
      <c r="D38" s="1">
        <v>2010</v>
      </c>
      <c r="E38" s="1"/>
      <c r="F38" s="1"/>
      <c r="G38" s="1"/>
      <c r="H38" s="1"/>
      <c r="I38" s="1"/>
      <c r="J38" s="1"/>
      <c r="K38" s="1"/>
      <c r="L38" s="1"/>
      <c r="M38" s="1"/>
      <c r="N38" s="17"/>
      <c r="O38" s="1"/>
      <c r="P38" s="1"/>
      <c r="Q38" s="1"/>
      <c r="R38" s="7"/>
      <c r="S38" s="8"/>
      <c r="T38" s="7"/>
      <c r="U38" s="7"/>
      <c r="V38" s="7"/>
      <c r="W38" s="4"/>
      <c r="X38" s="4"/>
      <c r="Y38" s="7"/>
      <c r="Z38" s="7"/>
      <c r="AA38" s="7"/>
      <c r="AB38" s="7"/>
      <c r="AC38" s="7"/>
      <c r="AD38" s="7"/>
      <c r="AE38" s="4"/>
    </row>
    <row r="39" spans="1:31" ht="12.75">
      <c r="A39">
        <v>10</v>
      </c>
      <c r="B39" s="2" t="s">
        <v>9</v>
      </c>
      <c r="C39" s="1" t="s">
        <v>67</v>
      </c>
      <c r="D39" s="1">
        <v>2007</v>
      </c>
      <c r="E39" s="1" t="s">
        <v>122</v>
      </c>
      <c r="F39" s="1" t="s">
        <v>122</v>
      </c>
      <c r="G39" s="1" t="s">
        <v>122</v>
      </c>
      <c r="H39" s="1" t="s">
        <v>140</v>
      </c>
      <c r="I39" s="1">
        <v>23638.02</v>
      </c>
      <c r="J39" s="1" t="s">
        <v>122</v>
      </c>
      <c r="K39" s="1">
        <v>50118.23</v>
      </c>
      <c r="L39" s="1">
        <v>73108.9</v>
      </c>
      <c r="M39" s="1">
        <v>29540.07</v>
      </c>
      <c r="N39" s="17"/>
      <c r="O39" s="1">
        <v>23.0421</v>
      </c>
      <c r="P39" s="1">
        <v>15064.71</v>
      </c>
      <c r="Q39" s="1">
        <v>18957.67</v>
      </c>
      <c r="R39" s="8" t="s">
        <v>140</v>
      </c>
      <c r="S39" s="7">
        <v>15965.06</v>
      </c>
      <c r="T39" s="7" t="e">
        <f t="shared" si="1"/>
        <v>#VALUE!</v>
      </c>
      <c r="U39" s="7">
        <v>464.391</v>
      </c>
      <c r="V39" s="7">
        <v>937.393</v>
      </c>
      <c r="W39" s="4" t="s">
        <v>139</v>
      </c>
      <c r="X39" s="4" t="s">
        <v>143</v>
      </c>
      <c r="Y39" s="7" t="str">
        <f>IF(X39="rub",R39,R39*'Курс доллара'!$F$5)</f>
        <v>нет инфо</v>
      </c>
      <c r="Z39" s="7">
        <f>IF(X39="rub",S39,S39*'Курс доллара'!$F$5)</f>
        <v>15965.06</v>
      </c>
      <c r="AA39" s="7" t="e">
        <f>IF(X39="rub",T39,T39*'Курс доллара'!$F$5)</f>
        <v>#VALUE!</v>
      </c>
      <c r="AB39" s="7">
        <f>IF(X39="rub",U39,U39*'Курс доллара'!$C$5)</f>
        <v>464.391</v>
      </c>
      <c r="AC39" s="7">
        <f>IF(X39="rub",V39,V39*'Курс доллара'!$F$5)</f>
        <v>937.393</v>
      </c>
      <c r="AD39" s="7" t="str">
        <f t="shared" si="2"/>
        <v>рсбу</v>
      </c>
      <c r="AE39" s="4" t="s">
        <v>143</v>
      </c>
    </row>
    <row r="40" spans="2:31" ht="12.75">
      <c r="B40" s="2" t="s">
        <v>9</v>
      </c>
      <c r="C40" s="1" t="s">
        <v>67</v>
      </c>
      <c r="D40" s="1">
        <v>2008</v>
      </c>
      <c r="E40" s="1">
        <v>2998638018</v>
      </c>
      <c r="F40" s="1" t="s">
        <v>122</v>
      </c>
      <c r="G40" s="1">
        <v>5876630000</v>
      </c>
      <c r="H40" s="1" t="s">
        <v>140</v>
      </c>
      <c r="I40" s="1">
        <v>29645.62</v>
      </c>
      <c r="J40" s="1" t="s">
        <v>122</v>
      </c>
      <c r="K40" s="1">
        <v>77477.59</v>
      </c>
      <c r="L40" s="1">
        <v>73104.41</v>
      </c>
      <c r="M40" s="1">
        <v>35417.7</v>
      </c>
      <c r="N40" s="17">
        <f>G40/L40/1000000</f>
        <v>0.080386805666033</v>
      </c>
      <c r="O40" s="1">
        <v>9.21132</v>
      </c>
      <c r="P40" s="1">
        <v>27292.13</v>
      </c>
      <c r="Q40" s="1">
        <v>21929.23</v>
      </c>
      <c r="R40" s="8" t="s">
        <v>140</v>
      </c>
      <c r="S40" s="7">
        <v>13558.538</v>
      </c>
      <c r="T40" s="7" t="e">
        <f t="shared" si="1"/>
        <v>#VALUE!</v>
      </c>
      <c r="U40" s="7">
        <v>4218.167</v>
      </c>
      <c r="V40" s="7">
        <v>1547.565</v>
      </c>
      <c r="W40" s="4" t="s">
        <v>139</v>
      </c>
      <c r="X40" s="4" t="s">
        <v>143</v>
      </c>
      <c r="Y40" s="7" t="str">
        <f>IF(X40="rub",R40,R40*'Курс доллара'!$F$6)</f>
        <v>нет инфо</v>
      </c>
      <c r="Z40" s="7">
        <f>IF(X40="rub",S40,S40*'Курс доллара'!$F$6)</f>
        <v>13558.538</v>
      </c>
      <c r="AA40" s="7" t="e">
        <f>IF(X40="rub",T40,T40*'Курс доллара'!$F$6)</f>
        <v>#VALUE!</v>
      </c>
      <c r="AB40" s="7">
        <f>IF(X40="rub",U40,U40*'Курс доллара'!$C$6)</f>
        <v>4218.167</v>
      </c>
      <c r="AC40" s="7">
        <f>IF(X40="rub",V40,V40*'Курс доллара'!$F$6)</f>
        <v>1547.565</v>
      </c>
      <c r="AD40" s="7" t="str">
        <f t="shared" si="2"/>
        <v>рсбу</v>
      </c>
      <c r="AE40" s="4" t="s">
        <v>143</v>
      </c>
    </row>
    <row r="41" spans="2:31" ht="12.75">
      <c r="B41" s="2" t="s">
        <v>9</v>
      </c>
      <c r="C41" s="1" t="s">
        <v>67</v>
      </c>
      <c r="D41" s="1">
        <v>2009</v>
      </c>
      <c r="E41" s="1">
        <v>1940699290</v>
      </c>
      <c r="F41" s="1" t="s">
        <v>122</v>
      </c>
      <c r="G41" s="1">
        <v>7782625000</v>
      </c>
      <c r="H41" s="1" t="s">
        <v>140</v>
      </c>
      <c r="I41" s="1">
        <v>34523.79</v>
      </c>
      <c r="J41" s="1" t="s">
        <v>122</v>
      </c>
      <c r="K41" s="1">
        <v>85849.88</v>
      </c>
      <c r="L41" s="1">
        <v>82419.49</v>
      </c>
      <c r="M41" s="1">
        <v>40164.21</v>
      </c>
      <c r="N41" s="17">
        <f>G41/L41/1000000</f>
        <v>0.09442699778899383</v>
      </c>
      <c r="O41" s="1">
        <v>9.530087</v>
      </c>
      <c r="P41" s="1">
        <v>20428.11</v>
      </c>
      <c r="Q41" s="1">
        <v>26719.2</v>
      </c>
      <c r="R41" s="8" t="s">
        <v>140</v>
      </c>
      <c r="S41" s="7">
        <v>14685.611</v>
      </c>
      <c r="T41" s="7" t="e">
        <f t="shared" si="1"/>
        <v>#VALUE!</v>
      </c>
      <c r="U41" s="7">
        <v>8030.505</v>
      </c>
      <c r="V41" s="7">
        <v>2552.603</v>
      </c>
      <c r="W41" s="4" t="s">
        <v>139</v>
      </c>
      <c r="X41" s="4" t="s">
        <v>143</v>
      </c>
      <c r="Y41" s="7" t="str">
        <f>IF(X41="rub",R41,R41*'Курс доллара'!$F$7)</f>
        <v>нет инфо</v>
      </c>
      <c r="Z41" s="7">
        <f>IF(X41="rub",S41,S41*'Курс доллара'!$F$7)</f>
        <v>14685.611</v>
      </c>
      <c r="AA41" s="7" t="e">
        <f>IF(X41="rub",T41,T41*'Курс доллара'!$F$7)</f>
        <v>#VALUE!</v>
      </c>
      <c r="AB41" s="7">
        <f>IF(X41="rub",U41,U41*'Курс доллара'!$C$7)</f>
        <v>8030.505</v>
      </c>
      <c r="AC41" s="7">
        <f>IF(X41="rub",V41,V41*'Курс доллара'!$F$7)</f>
        <v>2552.603</v>
      </c>
      <c r="AD41" s="7" t="str">
        <f t="shared" si="2"/>
        <v>рсбу</v>
      </c>
      <c r="AE41" s="4" t="s">
        <v>143</v>
      </c>
    </row>
    <row r="42" spans="2:31" ht="12.75">
      <c r="B42" s="2" t="s">
        <v>9</v>
      </c>
      <c r="C42" s="1" t="s">
        <v>67</v>
      </c>
      <c r="D42" s="1">
        <v>2010</v>
      </c>
      <c r="E42" s="1"/>
      <c r="F42" s="1"/>
      <c r="G42" s="1">
        <v>19420702000</v>
      </c>
      <c r="H42" s="1" t="s">
        <v>140</v>
      </c>
      <c r="I42" s="1">
        <v>51957.834</v>
      </c>
      <c r="J42" s="1"/>
      <c r="K42" s="1">
        <v>96423.202</v>
      </c>
      <c r="L42" s="1">
        <v>103778.359</v>
      </c>
      <c r="M42" s="1">
        <v>57644.211</v>
      </c>
      <c r="N42" s="17">
        <f>G42/L42/1000000</f>
        <v>0.1871363373552669</v>
      </c>
      <c r="O42" s="1"/>
      <c r="P42" s="1">
        <f>16869.81+1077.358</f>
        <v>17947.168</v>
      </c>
      <c r="Q42" s="1">
        <f>18848.754+25089.181</f>
        <v>43937.935</v>
      </c>
      <c r="R42" s="8" t="s">
        <v>140</v>
      </c>
      <c r="S42" s="7">
        <v>24014.485</v>
      </c>
      <c r="T42" s="7" t="e">
        <f t="shared" si="1"/>
        <v>#VALUE!</v>
      </c>
      <c r="U42" s="7">
        <v>4819.601</v>
      </c>
      <c r="V42" s="7">
        <v>817.92</v>
      </c>
      <c r="W42" s="4" t="s">
        <v>139</v>
      </c>
      <c r="X42" s="4" t="s">
        <v>143</v>
      </c>
      <c r="Y42" s="7" t="str">
        <f>IF(X42="rub",R42,R42*'Курс доллара'!$F$7)</f>
        <v>нет инфо</v>
      </c>
      <c r="Z42" s="7">
        <f>IF(X42="rub",S42,S42*'Курс доллара'!$F$8)</f>
        <v>24014.485</v>
      </c>
      <c r="AA42" s="7" t="e">
        <f>IF(X42="rub",T42,T42*'Курс доллара'!$F$7)</f>
        <v>#VALUE!</v>
      </c>
      <c r="AB42" s="7">
        <f>IF(X42="rub",U42,U42*'Курс доллара'!$C$8)</f>
        <v>4819.601</v>
      </c>
      <c r="AC42" s="7">
        <f>IF(X42="rub",V42,V42*'Курс доллара'!$F$8)</f>
        <v>817.92</v>
      </c>
      <c r="AD42" s="7" t="str">
        <f>W42</f>
        <v>рсбу</v>
      </c>
      <c r="AE42" s="4" t="s">
        <v>143</v>
      </c>
    </row>
    <row r="43" spans="1:31" ht="12.75">
      <c r="A43">
        <v>11</v>
      </c>
      <c r="B43" s="2" t="s">
        <v>10</v>
      </c>
      <c r="C43" s="1" t="s">
        <v>68</v>
      </c>
      <c r="D43" s="1">
        <v>2007</v>
      </c>
      <c r="E43" s="1">
        <v>62967000000</v>
      </c>
      <c r="F43" s="1" t="s">
        <v>122</v>
      </c>
      <c r="G43" s="1">
        <v>360449550000</v>
      </c>
      <c r="H43" s="1">
        <v>658038000000</v>
      </c>
      <c r="I43" s="1">
        <v>3625595</v>
      </c>
      <c r="J43" s="1">
        <v>125242</v>
      </c>
      <c r="K43" s="1">
        <v>6792556</v>
      </c>
      <c r="L43" s="1">
        <v>2390467</v>
      </c>
      <c r="M43" s="1">
        <v>3950789</v>
      </c>
      <c r="N43" s="17">
        <f t="shared" si="0"/>
        <v>0.275275918889489</v>
      </c>
      <c r="O43" s="1">
        <v>10.87443</v>
      </c>
      <c r="P43" s="1">
        <v>1510488</v>
      </c>
      <c r="Q43" s="1">
        <v>3746687</v>
      </c>
      <c r="R43" s="7">
        <v>183577</v>
      </c>
      <c r="S43" s="7">
        <v>701778</v>
      </c>
      <c r="T43" s="7">
        <f t="shared" si="1"/>
        <v>885355</v>
      </c>
      <c r="U43" s="7">
        <v>279109</v>
      </c>
      <c r="V43" s="7">
        <v>75975</v>
      </c>
      <c r="W43" s="4" t="s">
        <v>144</v>
      </c>
      <c r="X43" s="4" t="s">
        <v>143</v>
      </c>
      <c r="Y43" s="7">
        <f>IF(X43="rub",R43,R43*'Курс доллара'!$F$5)</f>
        <v>183577</v>
      </c>
      <c r="Z43" s="7">
        <f>IF(X43="rub",S43,S43*'Курс доллара'!$F$5)</f>
        <v>701778</v>
      </c>
      <c r="AA43" s="7">
        <f>IF(X43="rub",T43,T43*'Курс доллара'!$F$5)</f>
        <v>885355</v>
      </c>
      <c r="AB43" s="7">
        <f>IF(X43="rub",U43,U43*'Курс доллара'!$C$5)</f>
        <v>279109</v>
      </c>
      <c r="AC43" s="7">
        <f>IF(X43="rub",V43,V43*'Курс доллара'!$F$5)</f>
        <v>75975</v>
      </c>
      <c r="AD43" s="7" t="str">
        <f t="shared" si="2"/>
        <v>мсфо</v>
      </c>
      <c r="AE43" s="4" t="s">
        <v>143</v>
      </c>
    </row>
    <row r="44" spans="2:31" ht="12.75">
      <c r="B44" s="2" t="s">
        <v>10</v>
      </c>
      <c r="C44" s="1" t="s">
        <v>68</v>
      </c>
      <c r="D44" s="1">
        <v>2008</v>
      </c>
      <c r="E44" s="1">
        <v>8522000000</v>
      </c>
      <c r="F44" s="1" t="s">
        <v>122</v>
      </c>
      <c r="G44" s="1">
        <v>173021630000</v>
      </c>
      <c r="H44" s="1">
        <v>742928000000</v>
      </c>
      <c r="I44" s="1">
        <v>4279921</v>
      </c>
      <c r="J44" s="1">
        <v>287926</v>
      </c>
      <c r="K44" s="1">
        <v>7168568</v>
      </c>
      <c r="L44" s="1">
        <v>3518960</v>
      </c>
      <c r="M44" s="1">
        <v>4605115</v>
      </c>
      <c r="N44" s="17">
        <f t="shared" si="0"/>
        <v>0.21112146770636778</v>
      </c>
      <c r="O44" s="1">
        <v>10.64281</v>
      </c>
      <c r="P44" s="1">
        <v>1365640</v>
      </c>
      <c r="Q44" s="1">
        <v>4068708</v>
      </c>
      <c r="R44" s="7">
        <v>195016</v>
      </c>
      <c r="S44" s="7">
        <v>1260306</v>
      </c>
      <c r="T44" s="7">
        <f t="shared" si="1"/>
        <v>1455322</v>
      </c>
      <c r="U44" s="7">
        <v>343833</v>
      </c>
      <c r="V44" s="7">
        <v>59910</v>
      </c>
      <c r="W44" s="4" t="s">
        <v>144</v>
      </c>
      <c r="X44" s="4" t="s">
        <v>143</v>
      </c>
      <c r="Y44" s="7">
        <f>IF(X44="rub",R44,R44*'Курс доллара'!$F$6)</f>
        <v>195016</v>
      </c>
      <c r="Z44" s="7">
        <f>IF(X44="rub",S44,S44*'Курс доллара'!$F$6)</f>
        <v>1260306</v>
      </c>
      <c r="AA44" s="7">
        <f>IF(X44="rub",T44,T44*'Курс доллара'!$F$6)</f>
        <v>1455322</v>
      </c>
      <c r="AB44" s="7">
        <f>IF(X44="rub",U44,U44*'Курс доллара'!$C$6)</f>
        <v>343833</v>
      </c>
      <c r="AC44" s="7">
        <f>IF(X44="rub",V44,V44*'Курс доллара'!$F$6)</f>
        <v>59910</v>
      </c>
      <c r="AD44" s="7" t="str">
        <f t="shared" si="2"/>
        <v>мсфо</v>
      </c>
      <c r="AE44" s="4" t="s">
        <v>143</v>
      </c>
    </row>
    <row r="45" spans="2:31" ht="12.75">
      <c r="B45" s="2" t="s">
        <v>10</v>
      </c>
      <c r="C45" s="1" t="s">
        <v>68</v>
      </c>
      <c r="D45" s="1">
        <v>2009</v>
      </c>
      <c r="E45" s="1">
        <v>56581000000</v>
      </c>
      <c r="F45" s="1" t="s">
        <v>122</v>
      </c>
      <c r="G45" s="1">
        <v>624613273000</v>
      </c>
      <c r="H45" s="1">
        <v>779588000000</v>
      </c>
      <c r="I45" s="1">
        <v>5001321</v>
      </c>
      <c r="J45" s="1">
        <v>101514</v>
      </c>
      <c r="K45" s="1">
        <v>8363215</v>
      </c>
      <c r="L45" s="1">
        <v>2990971</v>
      </c>
      <c r="M45" s="1">
        <v>5326515</v>
      </c>
      <c r="N45" s="17">
        <f t="shared" si="0"/>
        <v>0.26064712763848263</v>
      </c>
      <c r="O45" s="1">
        <v>10.03858</v>
      </c>
      <c r="P45" s="1">
        <v>1625665</v>
      </c>
      <c r="Q45" s="1">
        <v>4899223</v>
      </c>
      <c r="R45" s="7">
        <v>224445</v>
      </c>
      <c r="S45" s="7">
        <v>856912</v>
      </c>
      <c r="T45" s="7">
        <f t="shared" si="1"/>
        <v>1081357</v>
      </c>
      <c r="U45" s="7">
        <v>249759</v>
      </c>
      <c r="V45" s="7">
        <v>74167</v>
      </c>
      <c r="W45" s="4" t="s">
        <v>144</v>
      </c>
      <c r="X45" s="4" t="s">
        <v>143</v>
      </c>
      <c r="Y45" s="7">
        <f>IF(X45="rub",R45,R45*'Курс доллара'!$F$7)</f>
        <v>224445</v>
      </c>
      <c r="Z45" s="7">
        <f>IF(X45="rub",S45,S45*'Курс доллара'!$F$7)</f>
        <v>856912</v>
      </c>
      <c r="AA45" s="7">
        <f>IF(X45="rub",T45,T45*'Курс доллара'!$F$7)</f>
        <v>1081357</v>
      </c>
      <c r="AB45" s="7">
        <f>IF(X45="rub",U45,U45*'Курс доллара'!$C$7)</f>
        <v>249759</v>
      </c>
      <c r="AC45" s="7">
        <f>IF(X45="rub",V45,V45*'Курс доллара'!$F$7)</f>
        <v>74167</v>
      </c>
      <c r="AD45" s="7" t="str">
        <f t="shared" si="2"/>
        <v>мсфо</v>
      </c>
      <c r="AE45" s="4" t="s">
        <v>143</v>
      </c>
    </row>
    <row r="46" spans="2:31" ht="12.75">
      <c r="B46" s="2" t="s">
        <v>10</v>
      </c>
      <c r="C46" s="1" t="s">
        <v>68</v>
      </c>
      <c r="D46" s="1">
        <v>2010</v>
      </c>
      <c r="E46" s="1">
        <v>55007000000</v>
      </c>
      <c r="F46" s="1"/>
      <c r="G46" s="1"/>
      <c r="H46" s="1">
        <v>997993000000</v>
      </c>
      <c r="I46" s="1">
        <v>6028543</v>
      </c>
      <c r="J46" s="1"/>
      <c r="K46" s="1">
        <v>9235993</v>
      </c>
      <c r="L46" s="1">
        <v>3597054</v>
      </c>
      <c r="M46" s="1">
        <v>6249751</v>
      </c>
      <c r="N46" s="17">
        <f t="shared" si="0"/>
        <v>0.2774473221697534</v>
      </c>
      <c r="O46" s="1"/>
      <c r="P46" s="1">
        <f>1124395+190845+207</f>
        <v>1315447</v>
      </c>
      <c r="Q46" s="1">
        <v>5486429</v>
      </c>
      <c r="R46" s="7">
        <v>248783</v>
      </c>
      <c r="S46" s="7">
        <v>1113822</v>
      </c>
      <c r="T46" s="7">
        <f t="shared" si="1"/>
        <v>1362605</v>
      </c>
      <c r="U46" s="7">
        <v>440786</v>
      </c>
      <c r="V46" s="7">
        <v>38714</v>
      </c>
      <c r="W46" s="4" t="s">
        <v>144</v>
      </c>
      <c r="X46" s="4" t="s">
        <v>143</v>
      </c>
      <c r="Y46" s="7">
        <f>IF(X46="rub",R46,R46*'Курс доллара'!$F$8)</f>
        <v>248783</v>
      </c>
      <c r="Z46" s="7">
        <f>IF(X46="rub",S46,S46*'Курс доллара'!$F$8)</f>
        <v>1113822</v>
      </c>
      <c r="AA46" s="7">
        <f>IF(X46="rub",T46,T46*'Курс доллара'!$F$8)</f>
        <v>1362605</v>
      </c>
      <c r="AB46" s="7">
        <f>IF(X46="rub",U46,U46*'Курс доллара'!$C$8)</f>
        <v>440786</v>
      </c>
      <c r="AC46" s="7">
        <f>IF(X46="rub",V46,V46*'Курс доллара'!$F$8)</f>
        <v>38714</v>
      </c>
      <c r="AD46" s="7" t="str">
        <f>W46</f>
        <v>мсфо</v>
      </c>
      <c r="AE46" s="4" t="s">
        <v>143</v>
      </c>
    </row>
    <row r="47" spans="1:31" ht="12.75">
      <c r="A47">
        <v>12</v>
      </c>
      <c r="B47" s="2" t="s">
        <v>11</v>
      </c>
      <c r="C47" s="1" t="s">
        <v>69</v>
      </c>
      <c r="D47" s="1">
        <v>2007</v>
      </c>
      <c r="E47" s="1">
        <v>25603000000</v>
      </c>
      <c r="F47" s="1" t="s">
        <v>122</v>
      </c>
      <c r="G47" s="1">
        <v>79479413000</v>
      </c>
      <c r="H47" s="1">
        <v>105851000000</v>
      </c>
      <c r="I47" s="1">
        <v>257024.2</v>
      </c>
      <c r="J47" s="1">
        <v>78244.73</v>
      </c>
      <c r="K47" s="1">
        <v>409169.3</v>
      </c>
      <c r="L47" s="1">
        <v>539564.3</v>
      </c>
      <c r="M47" s="1">
        <v>257064</v>
      </c>
      <c r="N47" s="17">
        <f t="shared" si="0"/>
        <v>0.19617865748345467</v>
      </c>
      <c r="O47" s="1">
        <v>26.98195</v>
      </c>
      <c r="P47" s="1">
        <v>84325.43</v>
      </c>
      <c r="Q47" s="1">
        <v>285797.6</v>
      </c>
      <c r="R47" s="8">
        <v>929</v>
      </c>
      <c r="S47" s="8">
        <v>4899</v>
      </c>
      <c r="T47" s="8">
        <f t="shared" si="1"/>
        <v>5828</v>
      </c>
      <c r="U47" s="8">
        <v>721</v>
      </c>
      <c r="V47" s="8">
        <v>149</v>
      </c>
      <c r="W47" s="4" t="s">
        <v>144</v>
      </c>
      <c r="X47" s="4" t="s">
        <v>142</v>
      </c>
      <c r="Y47" s="7">
        <f>IF(X47="rub",R47,R47*'Курс доллара'!$F$5)</f>
        <v>23632.505849999998</v>
      </c>
      <c r="Z47" s="7">
        <f>IF(X47="rub",S47,S47*'Курс доллара'!$F$5)</f>
        <v>124623.94635</v>
      </c>
      <c r="AA47" s="7">
        <f>IF(X47="rub",T47,T47*'Курс доллара'!$F$5)</f>
        <v>148256.4522</v>
      </c>
      <c r="AB47" s="7">
        <f>IF(X47="rub",U47,U47*'Курс доллара'!$C$5)</f>
        <v>17697.8102</v>
      </c>
      <c r="AC47" s="7">
        <f>IF(X47="rub",V47,V47*'Курс доллара'!$F$5)</f>
        <v>3790.35885</v>
      </c>
      <c r="AD47" s="7" t="str">
        <f t="shared" si="2"/>
        <v>мсфо</v>
      </c>
      <c r="AE47" s="4" t="s">
        <v>143</v>
      </c>
    </row>
    <row r="48" spans="2:31" ht="12.75">
      <c r="B48" s="2" t="s">
        <v>11</v>
      </c>
      <c r="C48" s="1" t="s">
        <v>69</v>
      </c>
      <c r="D48" s="1">
        <v>2008</v>
      </c>
      <c r="E48" s="1">
        <v>25603000000</v>
      </c>
      <c r="F48" s="1" t="s">
        <v>122</v>
      </c>
      <c r="G48" s="1">
        <v>70512869000</v>
      </c>
      <c r="H48" s="1">
        <v>115863000000</v>
      </c>
      <c r="I48" s="1">
        <v>393585.9</v>
      </c>
      <c r="J48" s="1">
        <v>52674.03</v>
      </c>
      <c r="K48" s="1">
        <v>594083.6</v>
      </c>
      <c r="L48" s="1">
        <v>822953.9</v>
      </c>
      <c r="M48" s="1">
        <v>410492.5</v>
      </c>
      <c r="N48" s="17">
        <f t="shared" si="0"/>
        <v>0.14078917421741363</v>
      </c>
      <c r="O48" s="1">
        <v>25.30763</v>
      </c>
      <c r="P48" s="1">
        <v>108584.5</v>
      </c>
      <c r="Q48" s="1">
        <v>272181.7</v>
      </c>
      <c r="R48" s="8">
        <v>1309</v>
      </c>
      <c r="S48" s="8">
        <v>6249</v>
      </c>
      <c r="T48" s="8">
        <f t="shared" si="1"/>
        <v>7558</v>
      </c>
      <c r="U48" s="8">
        <v>2075</v>
      </c>
      <c r="V48" s="8">
        <v>167</v>
      </c>
      <c r="W48" s="4" t="s">
        <v>144</v>
      </c>
      <c r="X48" s="4" t="s">
        <v>142</v>
      </c>
      <c r="Y48" s="7">
        <f>IF(X48="rub",R48,R48*'Курс доллара'!$F$6)</f>
        <v>35294.9597</v>
      </c>
      <c r="Z48" s="7">
        <f>IF(X48="rub",S48,S48*'Курс доллара'!$F$6)</f>
        <v>168493.6617</v>
      </c>
      <c r="AA48" s="7">
        <f>IF(X48="rub",T48,T48*'Курс доллара'!$F$6)</f>
        <v>203788.6214</v>
      </c>
      <c r="AB48" s="7">
        <f>IF(X48="rub",U48,U48*'Курс доллара'!$C$6)</f>
        <v>60964.33</v>
      </c>
      <c r="AC48" s="7">
        <f>IF(X48="rub",V48,V48*'Курс доллара'!$F$6)</f>
        <v>4502.8711</v>
      </c>
      <c r="AD48" s="7" t="str">
        <f t="shared" si="2"/>
        <v>мсфо</v>
      </c>
      <c r="AE48" s="4" t="s">
        <v>143</v>
      </c>
    </row>
    <row r="49" spans="2:31" ht="12.75">
      <c r="B49" s="2" t="s">
        <v>11</v>
      </c>
      <c r="C49" s="1" t="s">
        <v>69</v>
      </c>
      <c r="D49" s="1">
        <v>2009</v>
      </c>
      <c r="E49" s="1">
        <v>16926000000</v>
      </c>
      <c r="F49" s="1" t="s">
        <v>122</v>
      </c>
      <c r="G49" s="1">
        <v>55407322000</v>
      </c>
      <c r="H49" s="1">
        <v>95714000000</v>
      </c>
      <c r="I49" s="1">
        <v>467825.2</v>
      </c>
      <c r="J49" s="1">
        <v>27526.78</v>
      </c>
      <c r="K49" s="1">
        <v>898406.9</v>
      </c>
      <c r="L49" s="1">
        <v>767257.4</v>
      </c>
      <c r="M49" s="1">
        <v>485095.3</v>
      </c>
      <c r="N49" s="17">
        <f t="shared" si="0"/>
        <v>0.12474822660556939</v>
      </c>
      <c r="O49" s="1">
        <v>12.02386</v>
      </c>
      <c r="P49" s="1">
        <v>189520.8</v>
      </c>
      <c r="Q49" s="1">
        <v>506149.8</v>
      </c>
      <c r="R49" s="8">
        <v>1475</v>
      </c>
      <c r="S49" s="8">
        <v>3429</v>
      </c>
      <c r="T49" s="8">
        <f t="shared" si="1"/>
        <v>4904</v>
      </c>
      <c r="U49" s="8">
        <v>868</v>
      </c>
      <c r="V49" s="8">
        <v>369</v>
      </c>
      <c r="W49" s="4" t="s">
        <v>144</v>
      </c>
      <c r="X49" s="4" t="s">
        <v>142</v>
      </c>
      <c r="Y49" s="7">
        <f>IF(X49="rub",R49,R49*'Курс доллара'!$F$7)</f>
        <v>43973.1425</v>
      </c>
      <c r="Z49" s="7">
        <f>IF(X49="rub",S49,S49*'Курс доллара'!$F$7)</f>
        <v>102226.37670000001</v>
      </c>
      <c r="AA49" s="7">
        <f>IF(X49="rub",T49,T49*'Курс доллара'!$F$7)</f>
        <v>146199.5192</v>
      </c>
      <c r="AB49" s="7">
        <f>IF(X49="rub",U49,U49*'Курс доллара'!$C$7)</f>
        <v>26251.9656</v>
      </c>
      <c r="AC49" s="7">
        <f>IF(X49="rub",V49,V49*'Курс доллара'!$F$7)</f>
        <v>11000.7387</v>
      </c>
      <c r="AD49" s="7" t="str">
        <f t="shared" si="2"/>
        <v>мсфо</v>
      </c>
      <c r="AE49" s="4" t="s">
        <v>143</v>
      </c>
    </row>
    <row r="50" spans="2:31" ht="12.75">
      <c r="B50" s="2" t="s">
        <v>11</v>
      </c>
      <c r="C50" s="1" t="s">
        <v>69</v>
      </c>
      <c r="D50" s="1">
        <v>2010</v>
      </c>
      <c r="E50" s="1">
        <f>546000000*'Курс доллара'!F8</f>
        <v>16576860300</v>
      </c>
      <c r="F50" s="1"/>
      <c r="G50" s="1"/>
      <c r="H50" s="1">
        <f>3433000000*'Курс доллара'!F8</f>
        <v>104227768150</v>
      </c>
      <c r="I50" s="1">
        <f>18223*'Курс доллара'!C8</f>
        <v>555380.5487</v>
      </c>
      <c r="J50" s="1"/>
      <c r="K50" s="1">
        <f>32064*'Курс доллара'!C8</f>
        <v>977211.3216</v>
      </c>
      <c r="L50" s="1">
        <f>32772*'Курс доллара'!F8</f>
        <v>994975.9446</v>
      </c>
      <c r="M50" s="1">
        <f>18687*'Курс доллара'!C8</f>
        <v>569521.8303</v>
      </c>
      <c r="N50" s="17">
        <f t="shared" si="0"/>
        <v>0.10475405834248748</v>
      </c>
      <c r="O50" s="1"/>
      <c r="P50" s="1">
        <f>(1694+4942)*'Курс доллара'!C8</f>
        <v>202244.7084</v>
      </c>
      <c r="Q50" s="1">
        <f>15914*'Курс доллара'!C8</f>
        <v>485009.3866</v>
      </c>
      <c r="R50" s="8">
        <v>1619</v>
      </c>
      <c r="S50" s="8">
        <v>4658</v>
      </c>
      <c r="T50" s="8">
        <f t="shared" si="1"/>
        <v>6277</v>
      </c>
      <c r="U50" s="8">
        <v>1146</v>
      </c>
      <c r="V50" s="8">
        <v>336</v>
      </c>
      <c r="W50" s="4" t="s">
        <v>144</v>
      </c>
      <c r="X50" s="4" t="s">
        <v>142</v>
      </c>
      <c r="Y50" s="7">
        <f>IF(X50="rub",R50,R50*'Курс доллара'!$F$8)</f>
        <v>49153.73045</v>
      </c>
      <c r="Z50" s="7">
        <f>IF(X50="rub",S50,S50*'Курс доллара'!$F$8)</f>
        <v>141419.4419</v>
      </c>
      <c r="AA50" s="7">
        <f>IF(X50="rub",T50,T50*'Курс доллара'!$F$8)</f>
        <v>190573.17235</v>
      </c>
      <c r="AB50" s="7">
        <f>IF(X50="rub",U50,U50*'Курс доллара'!$C$8)</f>
        <v>34926.5274</v>
      </c>
      <c r="AC50" s="7">
        <f>IF(X50="rub",V50,V50*'Курс доллара'!$F$8)</f>
        <v>10201.1448</v>
      </c>
      <c r="AD50" s="7" t="str">
        <f>W50</f>
        <v>мсфо</v>
      </c>
      <c r="AE50" s="4" t="s">
        <v>143</v>
      </c>
    </row>
    <row r="51" spans="1:31" ht="12.75">
      <c r="A51">
        <v>13</v>
      </c>
      <c r="B51" s="2" t="s">
        <v>12</v>
      </c>
      <c r="C51" s="1" t="s">
        <v>70</v>
      </c>
      <c r="D51" s="1">
        <v>2007</v>
      </c>
      <c r="E51" s="1">
        <v>41938000000</v>
      </c>
      <c r="F51" s="1" t="s">
        <v>122</v>
      </c>
      <c r="G51" s="1">
        <v>170236510000</v>
      </c>
      <c r="H51" s="1">
        <v>134810000000</v>
      </c>
      <c r="I51" s="1">
        <v>446103.6</v>
      </c>
      <c r="J51" s="1">
        <v>159181.1</v>
      </c>
      <c r="K51" s="1">
        <v>879542.3</v>
      </c>
      <c r="L51" s="1">
        <v>437754.4</v>
      </c>
      <c r="M51" s="1">
        <v>480550</v>
      </c>
      <c r="N51" s="17">
        <f t="shared" si="0"/>
        <v>0.3079580696390487</v>
      </c>
      <c r="O51" s="1">
        <v>20.49832</v>
      </c>
      <c r="P51" s="1">
        <v>198991</v>
      </c>
      <c r="Q51" s="1">
        <v>442604.7</v>
      </c>
      <c r="R51" s="8">
        <f>918+37</f>
        <v>955</v>
      </c>
      <c r="S51" s="8">
        <v>7437</v>
      </c>
      <c r="T51" s="8">
        <f t="shared" si="1"/>
        <v>8392</v>
      </c>
      <c r="U51" s="8">
        <v>4008</v>
      </c>
      <c r="V51" s="8">
        <f>280+3+1</f>
        <v>284</v>
      </c>
      <c r="W51" s="4" t="s">
        <v>144</v>
      </c>
      <c r="X51" s="4" t="s">
        <v>142</v>
      </c>
      <c r="Y51" s="7">
        <f>IF(X51="rub",R51,R51*'Курс доллара'!$F$5)</f>
        <v>24293.91075</v>
      </c>
      <c r="Z51" s="7">
        <f>IF(X51="rub",S51,S51*'Курс доллара'!$F$5)</f>
        <v>189187.24005</v>
      </c>
      <c r="AA51" s="7">
        <f>IF(X51="rub",T51,T51*'Курс доллара'!$F$5)</f>
        <v>213481.1508</v>
      </c>
      <c r="AB51" s="7">
        <f>IF(X51="rub",U51,U51*'Курс доллара'!$C$5)</f>
        <v>98381.1696</v>
      </c>
      <c r="AC51" s="7">
        <f>IF(X51="rub",V51,V51*'Курс доллара'!$F$5)</f>
        <v>7224.576599999999</v>
      </c>
      <c r="AD51" s="7" t="str">
        <f t="shared" si="2"/>
        <v>мсфо</v>
      </c>
      <c r="AE51" s="4" t="s">
        <v>143</v>
      </c>
    </row>
    <row r="52" spans="2:31" ht="12.75">
      <c r="B52" s="2" t="s">
        <v>12</v>
      </c>
      <c r="C52" s="1" t="s">
        <v>70</v>
      </c>
      <c r="D52" s="1">
        <v>2008</v>
      </c>
      <c r="E52" s="1" t="s">
        <v>122</v>
      </c>
      <c r="F52" s="1" t="s">
        <v>122</v>
      </c>
      <c r="G52" s="1">
        <v>-86053158000</v>
      </c>
      <c r="H52" s="1">
        <v>-11168000000</v>
      </c>
      <c r="I52" s="1">
        <v>274416.3</v>
      </c>
      <c r="J52" s="1">
        <v>29434.76</v>
      </c>
      <c r="K52" s="1">
        <v>612254.5</v>
      </c>
      <c r="L52" s="1">
        <v>347842.7</v>
      </c>
      <c r="M52" s="1">
        <v>315521.4</v>
      </c>
      <c r="N52" s="17">
        <f t="shared" si="0"/>
        <v>-0.03210646651489308</v>
      </c>
      <c r="O52" s="1">
        <v>-1.588846</v>
      </c>
      <c r="P52" s="1">
        <v>189354</v>
      </c>
      <c r="Q52" s="1">
        <v>331075.5</v>
      </c>
      <c r="R52" s="8">
        <f>1273+38</f>
        <v>1311</v>
      </c>
      <c r="S52" s="8">
        <v>-199</v>
      </c>
      <c r="T52" s="8">
        <f t="shared" si="1"/>
        <v>1112</v>
      </c>
      <c r="U52" s="8">
        <v>1995</v>
      </c>
      <c r="V52" s="8">
        <v>364</v>
      </c>
      <c r="W52" s="4" t="s">
        <v>144</v>
      </c>
      <c r="X52" s="4" t="s">
        <v>142</v>
      </c>
      <c r="Y52" s="7">
        <f>IF(X52="rub",R52,R52*'Курс доллара'!$F$6)</f>
        <v>35348.8863</v>
      </c>
      <c r="Z52" s="7">
        <f>IF(X52="rub",S52,S52*'Курс доллара'!$F$6)</f>
        <v>-5365.6967</v>
      </c>
      <c r="AA52" s="7">
        <f>IF(X52="rub",T52,T52*'Курс доллара'!$F$6)</f>
        <v>29983.1896</v>
      </c>
      <c r="AB52" s="7">
        <f>IF(X52="rub",U52,U52*'Курс доллара'!$C$6)</f>
        <v>58613.898</v>
      </c>
      <c r="AC52" s="7">
        <f>IF(X52="rub",V52,V52*'Курс доллара'!$F$6)</f>
        <v>9814.6412</v>
      </c>
      <c r="AD52" s="7" t="str">
        <f t="shared" si="2"/>
        <v>мсфо</v>
      </c>
      <c r="AE52" s="4" t="s">
        <v>143</v>
      </c>
    </row>
    <row r="53" spans="2:31" ht="12.75">
      <c r="B53" s="2" t="s">
        <v>12</v>
      </c>
      <c r="C53" s="1" t="s">
        <v>70</v>
      </c>
      <c r="D53" s="1">
        <v>2009</v>
      </c>
      <c r="E53" s="1">
        <v>40032000000</v>
      </c>
      <c r="F53" s="1" t="s">
        <v>122</v>
      </c>
      <c r="G53" s="1">
        <v>98031225000</v>
      </c>
      <c r="H53" s="1">
        <v>82602000000</v>
      </c>
      <c r="I53" s="1">
        <v>368739.7</v>
      </c>
      <c r="J53" s="1">
        <v>75627.2</v>
      </c>
      <c r="K53" s="1">
        <v>683596.6</v>
      </c>
      <c r="L53" s="1">
        <v>271203.8</v>
      </c>
      <c r="M53" s="1">
        <v>410728.6</v>
      </c>
      <c r="N53" s="17">
        <f t="shared" si="0"/>
        <v>0.30457537836859216</v>
      </c>
      <c r="O53" s="1">
        <v>11.93126</v>
      </c>
      <c r="P53" s="1">
        <v>161107.7</v>
      </c>
      <c r="Q53" s="1">
        <v>330895.6</v>
      </c>
      <c r="R53" s="8">
        <f>781+47</f>
        <v>828</v>
      </c>
      <c r="S53" s="8">
        <v>3776</v>
      </c>
      <c r="T53" s="8">
        <f t="shared" si="1"/>
        <v>4604</v>
      </c>
      <c r="U53" s="8">
        <v>3632</v>
      </c>
      <c r="V53" s="8">
        <v>136</v>
      </c>
      <c r="W53" s="4" t="s">
        <v>144</v>
      </c>
      <c r="X53" s="4" t="s">
        <v>142</v>
      </c>
      <c r="Y53" s="7">
        <f>IF(X53="rub",R53,R53*'Курс доллара'!$F$7)</f>
        <v>24684.5844</v>
      </c>
      <c r="Z53" s="7">
        <f>IF(X53="rub",S53,S53*'Курс доллара'!$F$7)</f>
        <v>112571.2448</v>
      </c>
      <c r="AA53" s="7">
        <f>IF(X53="rub",T53,T53*'Курс доллара'!$F$7)</f>
        <v>137255.8292</v>
      </c>
      <c r="AB53" s="7">
        <f>IF(X53="rub",U53,U53*'Курс доллара'!$C$7)</f>
        <v>109846.9344</v>
      </c>
      <c r="AC53" s="7">
        <f>IF(X53="rub",V53,V53*'Курс доллара'!$F$7)</f>
        <v>4054.4728</v>
      </c>
      <c r="AD53" s="7" t="str">
        <f t="shared" si="2"/>
        <v>мсфо</v>
      </c>
      <c r="AE53" s="4" t="s">
        <v>143</v>
      </c>
    </row>
    <row r="54" spans="2:31" ht="12.75">
      <c r="B54" s="2" t="s">
        <v>12</v>
      </c>
      <c r="C54" s="1" t="s">
        <v>70</v>
      </c>
      <c r="D54" s="1">
        <v>2010</v>
      </c>
      <c r="E54" s="1">
        <f>1183000000*'Курс доллара'!F8</f>
        <v>35916530650</v>
      </c>
      <c r="F54" s="1"/>
      <c r="G54" s="1"/>
      <c r="H54" s="1">
        <f>3089000000*'Курс доллара'!F8</f>
        <v>93783738950</v>
      </c>
      <c r="I54" s="1">
        <f>17744*'Курс доллара'!F8</f>
        <v>538717.5992</v>
      </c>
      <c r="J54" s="1"/>
      <c r="K54" s="1">
        <f>23909*'Курс доллара'!C8</f>
        <v>728672.2021</v>
      </c>
      <c r="L54" s="1">
        <f>12775*'Курс доллара'!F8</f>
        <v>387856.02625</v>
      </c>
      <c r="M54" s="1">
        <f>17376*'Курс доллара'!C8</f>
        <v>529566.6144</v>
      </c>
      <c r="N54" s="17">
        <f t="shared" si="0"/>
        <v>0.2418003913894325</v>
      </c>
      <c r="O54" s="1"/>
      <c r="P54" s="1">
        <f>(1561+14+1236+20)*'Курс доллара'!C8</f>
        <v>86280.1039</v>
      </c>
      <c r="Q54" s="1">
        <f>9153*'Курс доллара'!C8</f>
        <v>278955.0657</v>
      </c>
      <c r="R54" s="8">
        <f>775+35</f>
        <v>810</v>
      </c>
      <c r="S54" s="8">
        <v>6552</v>
      </c>
      <c r="T54" s="8">
        <f t="shared" si="1"/>
        <v>7362</v>
      </c>
      <c r="U54" s="8">
        <v>5405</v>
      </c>
      <c r="V54" s="8">
        <v>94</v>
      </c>
      <c r="W54" s="4" t="s">
        <v>144</v>
      </c>
      <c r="X54" s="4" t="s">
        <v>142</v>
      </c>
      <c r="Y54" s="7">
        <f>IF(X54="rub",R54,R54*'Курс доллара'!$F$8)</f>
        <v>24592.0455</v>
      </c>
      <c r="Z54" s="7">
        <f>IF(X54="rub",S54,S54*'Курс доллара'!$F$8)</f>
        <v>198922.3236</v>
      </c>
      <c r="AA54" s="7">
        <f>IF(X54="rub",T54,T54*'Курс доллара'!$F$8)</f>
        <v>223514.3691</v>
      </c>
      <c r="AB54" s="7">
        <f>IF(X54="rub",U54,U54*'Курс доллара'!$C$8)</f>
        <v>164727.6445</v>
      </c>
      <c r="AC54" s="7">
        <f>IF(X54="rub",V54,V54*'Курс доллара'!$F$8)</f>
        <v>2853.8917</v>
      </c>
      <c r="AD54" s="7" t="str">
        <f>W54</f>
        <v>мсфо</v>
      </c>
      <c r="AE54" s="4" t="s">
        <v>143</v>
      </c>
    </row>
    <row r="55" spans="1:31" ht="12.75">
      <c r="A55">
        <v>14</v>
      </c>
      <c r="B55" s="2" t="s">
        <v>13</v>
      </c>
      <c r="C55" s="1" t="s">
        <v>71</v>
      </c>
      <c r="D55" s="1">
        <v>2007</v>
      </c>
      <c r="E55" s="1">
        <v>88240768</v>
      </c>
      <c r="F55" s="1">
        <v>85935777</v>
      </c>
      <c r="G55" s="1">
        <v>873672000</v>
      </c>
      <c r="H55" s="1">
        <v>1360000000</v>
      </c>
      <c r="I55" s="1">
        <v>2671</v>
      </c>
      <c r="J55" s="1">
        <v>1118</v>
      </c>
      <c r="K55" s="1">
        <v>19459</v>
      </c>
      <c r="L55" s="1">
        <v>15001</v>
      </c>
      <c r="M55" s="1">
        <v>5956</v>
      </c>
      <c r="N55" s="17">
        <f t="shared" si="0"/>
        <v>0.09066062262515832</v>
      </c>
      <c r="O55" s="1">
        <v>6.443927</v>
      </c>
      <c r="P55" s="1">
        <v>6884</v>
      </c>
      <c r="Q55" s="1">
        <v>13010</v>
      </c>
      <c r="R55" s="7">
        <v>2088</v>
      </c>
      <c r="S55" s="7">
        <v>2579</v>
      </c>
      <c r="T55" s="7">
        <f t="shared" si="1"/>
        <v>4667</v>
      </c>
      <c r="U55" s="7">
        <v>342</v>
      </c>
      <c r="V55" s="7">
        <v>718</v>
      </c>
      <c r="W55" s="4" t="s">
        <v>144</v>
      </c>
      <c r="X55" s="4" t="s">
        <v>143</v>
      </c>
      <c r="Y55" s="7">
        <f>IF(X55="rub",R55,R55*'Курс доллара'!$F$5)</f>
        <v>2088</v>
      </c>
      <c r="Z55" s="7">
        <f>IF(X55="rub",S55,S55*'Курс доллара'!$F$5)</f>
        <v>2579</v>
      </c>
      <c r="AA55" s="7">
        <f>IF(X55="rub",T55,T55*'Курс доллара'!$F$5)</f>
        <v>4667</v>
      </c>
      <c r="AB55" s="7">
        <f>IF(X55="rub",U55,U55*'Курс доллара'!$C$5)</f>
        <v>342</v>
      </c>
      <c r="AC55" s="7">
        <f>IF(X55="rub",V55,V55*'Курс доллара'!$F$5)</f>
        <v>718</v>
      </c>
      <c r="AD55" s="7" t="str">
        <f t="shared" si="2"/>
        <v>мсфо</v>
      </c>
      <c r="AE55" s="4" t="s">
        <v>143</v>
      </c>
    </row>
    <row r="56" spans="2:31" ht="12.75">
      <c r="B56" s="2" t="s">
        <v>13</v>
      </c>
      <c r="C56" s="1" t="s">
        <v>71</v>
      </c>
      <c r="D56" s="1">
        <v>2008</v>
      </c>
      <c r="E56" s="1">
        <v>260344675</v>
      </c>
      <c r="F56" s="1">
        <v>170718305</v>
      </c>
      <c r="G56" s="1">
        <v>1735605000</v>
      </c>
      <c r="H56" s="1">
        <v>2267000000</v>
      </c>
      <c r="I56" s="1">
        <v>4568</v>
      </c>
      <c r="J56" s="1">
        <v>936</v>
      </c>
      <c r="K56" s="1">
        <v>20885</v>
      </c>
      <c r="L56" s="1">
        <v>16109</v>
      </c>
      <c r="M56" s="1">
        <v>7853</v>
      </c>
      <c r="N56" s="17">
        <f t="shared" si="0"/>
        <v>0.14072878515115772</v>
      </c>
      <c r="O56" s="1">
        <v>9.420393</v>
      </c>
      <c r="P56" s="1">
        <v>5687</v>
      </c>
      <c r="Q56" s="1">
        <v>14143</v>
      </c>
      <c r="R56" s="7">
        <v>2204</v>
      </c>
      <c r="S56" s="7">
        <v>3530</v>
      </c>
      <c r="T56" s="7">
        <f t="shared" si="1"/>
        <v>5734</v>
      </c>
      <c r="U56" s="7">
        <v>554</v>
      </c>
      <c r="V56" s="7">
        <v>626</v>
      </c>
      <c r="W56" s="4" t="s">
        <v>144</v>
      </c>
      <c r="X56" s="4" t="s">
        <v>143</v>
      </c>
      <c r="Y56" s="7">
        <f>IF(X56="rub",R56,R56*'Курс доллара'!$F$6)</f>
        <v>2204</v>
      </c>
      <c r="Z56" s="7">
        <f>IF(X56="rub",S56,S56*'Курс доллара'!$F$6)</f>
        <v>3530</v>
      </c>
      <c r="AA56" s="7">
        <f>IF(X56="rub",T56,T56*'Курс доллара'!$F$6)</f>
        <v>5734</v>
      </c>
      <c r="AB56" s="7">
        <f>IF(X56="rub",U56,U56*'Курс доллара'!$C$6)</f>
        <v>554</v>
      </c>
      <c r="AC56" s="7">
        <f>IF(X56="rub",V56,V56*'Курс доллара'!$F$6)</f>
        <v>626</v>
      </c>
      <c r="AD56" s="7" t="str">
        <f t="shared" si="2"/>
        <v>мсфо</v>
      </c>
      <c r="AE56" s="4" t="s">
        <v>143</v>
      </c>
    </row>
    <row r="57" spans="2:31" ht="12.75">
      <c r="B57" s="2" t="s">
        <v>13</v>
      </c>
      <c r="C57" s="1" t="s">
        <v>71</v>
      </c>
      <c r="D57" s="1">
        <v>2009</v>
      </c>
      <c r="E57" s="1">
        <v>325712808</v>
      </c>
      <c r="F57" s="1">
        <v>213594244</v>
      </c>
      <c r="G57" s="1">
        <v>2171477000</v>
      </c>
      <c r="H57" s="1">
        <v>2518000000</v>
      </c>
      <c r="I57" s="1">
        <v>6819</v>
      </c>
      <c r="J57" s="1">
        <v>1589</v>
      </c>
      <c r="K57" s="1">
        <v>21974</v>
      </c>
      <c r="L57" s="1">
        <v>17197</v>
      </c>
      <c r="M57" s="1">
        <v>11185</v>
      </c>
      <c r="N57" s="17">
        <f t="shared" si="0"/>
        <v>0.14642088736407513</v>
      </c>
      <c r="O57" s="1">
        <v>9.045502</v>
      </c>
      <c r="P57" s="1">
        <v>6276</v>
      </c>
      <c r="Q57" s="1">
        <v>15489</v>
      </c>
      <c r="R57" s="7">
        <v>2361</v>
      </c>
      <c r="S57" s="7">
        <v>3803</v>
      </c>
      <c r="T57" s="7">
        <f t="shared" si="1"/>
        <v>6164</v>
      </c>
      <c r="U57" s="7">
        <v>338</v>
      </c>
      <c r="V57" s="7">
        <v>571</v>
      </c>
      <c r="W57" s="4" t="s">
        <v>144</v>
      </c>
      <c r="X57" s="4" t="s">
        <v>143</v>
      </c>
      <c r="Y57" s="7">
        <f>IF(X57="rub",R57,R57*'Курс доллара'!$F$7)</f>
        <v>2361</v>
      </c>
      <c r="Z57" s="7">
        <f>IF(X57="rub",S57,S57*'Курс доллара'!$F$7)</f>
        <v>3803</v>
      </c>
      <c r="AA57" s="7">
        <f>IF(X57="rub",T57,T57*'Курс доллара'!$F$7)</f>
        <v>6164</v>
      </c>
      <c r="AB57" s="7">
        <f>IF(X57="rub",U57,U57*'Курс доллара'!$C$7)</f>
        <v>338</v>
      </c>
      <c r="AC57" s="7">
        <f>IF(X57="rub",V57,V57*'Курс доллара'!$F$7)</f>
        <v>571</v>
      </c>
      <c r="AD57" s="7" t="str">
        <f t="shared" si="2"/>
        <v>мсфо</v>
      </c>
      <c r="AE57" s="4" t="s">
        <v>143</v>
      </c>
    </row>
    <row r="58" spans="2:31" ht="12.75">
      <c r="B58" s="2" t="s">
        <v>13</v>
      </c>
      <c r="C58" s="1" t="s">
        <v>71</v>
      </c>
      <c r="D58" s="1">
        <v>2010</v>
      </c>
      <c r="E58" s="1">
        <v>1020000000</v>
      </c>
      <c r="F58" s="1"/>
      <c r="G58" s="1"/>
      <c r="H58" s="1">
        <v>2470000000</v>
      </c>
      <c r="I58" s="1">
        <v>11848</v>
      </c>
      <c r="J58" s="1"/>
      <c r="K58" s="1">
        <v>23314</v>
      </c>
      <c r="L58" s="1">
        <v>18274</v>
      </c>
      <c r="M58" s="1">
        <v>11848</v>
      </c>
      <c r="N58" s="17">
        <f t="shared" si="0"/>
        <v>0.1351647148954799</v>
      </c>
      <c r="O58" s="1"/>
      <c r="P58" s="1">
        <f>4689+2336</f>
        <v>7025</v>
      </c>
      <c r="Q58" s="1">
        <v>16069</v>
      </c>
      <c r="R58" s="7">
        <v>2361</v>
      </c>
      <c r="S58" s="7">
        <v>3771</v>
      </c>
      <c r="T58" s="7">
        <f t="shared" si="1"/>
        <v>6132</v>
      </c>
      <c r="U58" s="7">
        <v>410</v>
      </c>
      <c r="V58" s="7">
        <v>611</v>
      </c>
      <c r="W58" s="4" t="s">
        <v>144</v>
      </c>
      <c r="X58" s="4" t="s">
        <v>143</v>
      </c>
      <c r="Y58" s="7">
        <f>IF(X58="rub",R58,R58*'Курс доллара'!$F$8)</f>
        <v>2361</v>
      </c>
      <c r="Z58" s="7">
        <f>IF(X58="rub",S58,S58*'Курс доллара'!$F$8)</f>
        <v>3771</v>
      </c>
      <c r="AA58" s="7">
        <f>IF(X58="rub",T58,T58*'Курс доллара'!$F$8)</f>
        <v>6132</v>
      </c>
      <c r="AB58" s="7">
        <f>IF(X58="rub",U58,U58*'Курс доллара'!$C$8)</f>
        <v>410</v>
      </c>
      <c r="AC58" s="7">
        <f>IF(X58="rub",V58,V58*'Курс доллара'!$F$8)</f>
        <v>611</v>
      </c>
      <c r="AD58" s="7" t="str">
        <f>W58</f>
        <v>мсфо</v>
      </c>
      <c r="AE58" s="4" t="s">
        <v>143</v>
      </c>
    </row>
    <row r="59" spans="1:31" ht="12.75">
      <c r="A59">
        <v>15</v>
      </c>
      <c r="B59" s="2" t="s">
        <v>14</v>
      </c>
      <c r="C59" s="1" t="s">
        <v>72</v>
      </c>
      <c r="D59" s="1">
        <v>2007</v>
      </c>
      <c r="E59" s="1">
        <v>136938425</v>
      </c>
      <c r="F59" s="1" t="s">
        <v>122</v>
      </c>
      <c r="G59" s="1">
        <v>3899125000</v>
      </c>
      <c r="H59" s="1">
        <v>930669173</v>
      </c>
      <c r="I59" s="1">
        <v>5307.313999999999</v>
      </c>
      <c r="J59" s="1">
        <v>141.4602</v>
      </c>
      <c r="K59" s="1">
        <v>46198.84</v>
      </c>
      <c r="L59" s="1">
        <v>26150.3</v>
      </c>
      <c r="M59" s="1">
        <v>10268.37</v>
      </c>
      <c r="N59" s="17">
        <f t="shared" si="0"/>
        <v>0.03558923503745655</v>
      </c>
      <c r="O59" s="1">
        <v>2.906694</v>
      </c>
      <c r="P59" s="1">
        <v>24516.35</v>
      </c>
      <c r="Q59" s="1">
        <v>8764.697</v>
      </c>
      <c r="R59" s="8">
        <v>31.939</v>
      </c>
      <c r="S59" s="8">
        <v>80.402</v>
      </c>
      <c r="T59" s="8">
        <f t="shared" si="1"/>
        <v>112.34100000000001</v>
      </c>
      <c r="U59" s="8">
        <v>363.783</v>
      </c>
      <c r="V59" s="8">
        <v>84.442</v>
      </c>
      <c r="W59" s="4" t="s">
        <v>144</v>
      </c>
      <c r="X59" s="4" t="s">
        <v>142</v>
      </c>
      <c r="Y59" s="7">
        <f>IF(X59="rub",R59,R59*'Курс доллара'!$F$5)</f>
        <v>812.48504235</v>
      </c>
      <c r="Z59" s="7">
        <f>IF(X59="rub",S59,S59*'Курс доллара'!$F$5)</f>
        <v>2045.3183373</v>
      </c>
      <c r="AA59" s="7">
        <f>IF(X59="rub",T59,T59*'Курс доллара'!$F$5)</f>
        <v>2857.80337965</v>
      </c>
      <c r="AB59" s="7">
        <f>IF(X59="rub",U59,U59*'Курс доллара'!$C$5)</f>
        <v>8929.4902746</v>
      </c>
      <c r="AC59" s="7">
        <f>IF(X59="rub",V59,V59*'Курс доллара'!$F$5)</f>
        <v>2148.0904833</v>
      </c>
      <c r="AD59" s="7" t="str">
        <f t="shared" si="2"/>
        <v>мсфо</v>
      </c>
      <c r="AE59" s="4" t="s">
        <v>143</v>
      </c>
    </row>
    <row r="60" spans="2:31" ht="12.75">
      <c r="B60" s="2" t="s">
        <v>14</v>
      </c>
      <c r="C60" s="1" t="s">
        <v>72</v>
      </c>
      <c r="D60" s="1">
        <v>2008</v>
      </c>
      <c r="E60" s="1" t="s">
        <v>122</v>
      </c>
      <c r="F60" s="1" t="s">
        <v>122</v>
      </c>
      <c r="G60" s="1" t="s">
        <v>122</v>
      </c>
      <c r="H60" s="1">
        <v>-1024964634.4000001</v>
      </c>
      <c r="I60" s="1">
        <v>4438.0289999999995</v>
      </c>
      <c r="J60" s="1">
        <v>2030.078</v>
      </c>
      <c r="K60" s="1">
        <v>64668.96</v>
      </c>
      <c r="L60" s="1">
        <v>31051.33</v>
      </c>
      <c r="M60" s="1">
        <v>10358.08</v>
      </c>
      <c r="N60" s="17">
        <f t="shared" si="0"/>
        <v>-0.03300871925292733</v>
      </c>
      <c r="O60" s="1">
        <v>-1.993921</v>
      </c>
      <c r="P60" s="1">
        <v>35345.19</v>
      </c>
      <c r="Q60" s="1">
        <v>10414.03</v>
      </c>
      <c r="R60" s="8">
        <v>40.062</v>
      </c>
      <c r="S60" s="8">
        <v>75.276</v>
      </c>
      <c r="T60" s="8">
        <f t="shared" si="1"/>
        <v>115.338</v>
      </c>
      <c r="U60" s="8">
        <v>611.037</v>
      </c>
      <c r="V60" s="8">
        <v>95.916</v>
      </c>
      <c r="W60" s="4" t="s">
        <v>144</v>
      </c>
      <c r="X60" s="4" t="s">
        <v>142</v>
      </c>
      <c r="Y60" s="7">
        <f>IF(X60="rub",R60,R60*'Курс доллара'!$F$6)</f>
        <v>1080.2037246</v>
      </c>
      <c r="Z60" s="7">
        <f>IF(X60="rub",S60,S60*'Курс доллара'!$F$6)</f>
        <v>2029.6893708</v>
      </c>
      <c r="AA60" s="7">
        <f>IF(X60="rub",T60,T60*'Курс доллара'!$F$6)</f>
        <v>3109.8930953999998</v>
      </c>
      <c r="AB60" s="7">
        <f>IF(X60="rub",U60,U60*'Курс доллара'!$C$6)</f>
        <v>17952.5114748</v>
      </c>
      <c r="AC60" s="7">
        <f>IF(X60="rub",V60,V60*'Курс доллара'!$F$6)</f>
        <v>2586.2118828</v>
      </c>
      <c r="AD60" s="7" t="str">
        <f t="shared" si="2"/>
        <v>мсфо</v>
      </c>
      <c r="AE60" s="4" t="s">
        <v>143</v>
      </c>
    </row>
    <row r="61" spans="2:31" ht="12.75">
      <c r="B61" s="2" t="s">
        <v>14</v>
      </c>
      <c r="C61" s="1" t="s">
        <v>72</v>
      </c>
      <c r="D61" s="1">
        <v>2009</v>
      </c>
      <c r="E61" s="1">
        <v>440159225</v>
      </c>
      <c r="F61" s="1" t="s">
        <v>122</v>
      </c>
      <c r="G61" s="1">
        <v>1637056000</v>
      </c>
      <c r="H61" s="1">
        <v>-586283817</v>
      </c>
      <c r="I61" s="1">
        <v>3897.852</v>
      </c>
      <c r="J61" s="1">
        <v>-473.5114</v>
      </c>
      <c r="K61" s="1">
        <v>56966.9</v>
      </c>
      <c r="L61" s="1">
        <v>41707.7</v>
      </c>
      <c r="M61" s="1">
        <v>9945.189</v>
      </c>
      <c r="N61" s="17">
        <f t="shared" si="0"/>
        <v>-0.014056968305612634</v>
      </c>
      <c r="O61" s="1">
        <v>-0.9613049</v>
      </c>
      <c r="P61" s="1">
        <v>37229.1</v>
      </c>
      <c r="Q61" s="1">
        <v>11005.21</v>
      </c>
      <c r="R61" s="8">
        <f>36.196+6.032</f>
        <v>42.227999999999994</v>
      </c>
      <c r="S61" s="8">
        <v>53.217</v>
      </c>
      <c r="T61" s="8">
        <f t="shared" si="1"/>
        <v>95.445</v>
      </c>
      <c r="U61" s="8">
        <v>535.096</v>
      </c>
      <c r="V61" s="8">
        <v>105.827</v>
      </c>
      <c r="W61" s="4" t="s">
        <v>144</v>
      </c>
      <c r="X61" s="4" t="s">
        <v>142</v>
      </c>
      <c r="Y61" s="7">
        <f>IF(X61="rub",R61,R61*'Курс доллара'!$F$7)</f>
        <v>1258.9138044</v>
      </c>
      <c r="Z61" s="7">
        <f>IF(X61="rub",S61,S61*'Курс доллара'!$F$7)</f>
        <v>1586.5211691</v>
      </c>
      <c r="AA61" s="7">
        <f>IF(X61="rub",T61,T61*'Курс доллара'!$F$7)</f>
        <v>2845.4349734999996</v>
      </c>
      <c r="AB61" s="7">
        <f>IF(X61="rub",U61,U61*'Курс доллара'!$C$7)</f>
        <v>16183.5504432</v>
      </c>
      <c r="AC61" s="7">
        <f>IF(X61="rub",V61,V61*'Курс доллара'!$F$7)</f>
        <v>3154.9462721</v>
      </c>
      <c r="AD61" s="7" t="str">
        <f t="shared" si="2"/>
        <v>мсфо</v>
      </c>
      <c r="AE61" s="4" t="s">
        <v>143</v>
      </c>
    </row>
    <row r="62" spans="2:31" ht="12.75">
      <c r="B62" s="2" t="s">
        <v>14</v>
      </c>
      <c r="C62" s="1" t="s">
        <v>72</v>
      </c>
      <c r="D62" s="1">
        <v>2010</v>
      </c>
      <c r="E62" s="1">
        <f>14110000*'Курс доллара'!F8</f>
        <v>428387360.5</v>
      </c>
      <c r="F62" s="1"/>
      <c r="G62" s="1"/>
      <c r="H62" s="1">
        <f>85546000*'Курс доллара'!F8</f>
        <v>2597223610.3</v>
      </c>
      <c r="I62" s="1">
        <f>204.861*'Курс доллара'!C8</f>
        <v>6243.5282109</v>
      </c>
      <c r="J62" s="1"/>
      <c r="K62" s="1">
        <f>1957.81*'Курс доллара'!C8</f>
        <v>59667.979589</v>
      </c>
      <c r="L62" s="1">
        <f>1672.65*'Курс доллара'!F8</f>
        <v>50782.573957500004</v>
      </c>
      <c r="M62" s="1">
        <f>573.031*'Курс доллара'!C8</f>
        <v>17464.208483899998</v>
      </c>
      <c r="N62" s="17">
        <f t="shared" si="0"/>
        <v>0.05114399306489702</v>
      </c>
      <c r="O62" s="1"/>
      <c r="P62" s="1">
        <f>(679.73+332.621)*'Курс доллара'!C8</f>
        <v>30853.320191900002</v>
      </c>
      <c r="Q62" s="1">
        <f>331.592*'Курс доллара'!C8</f>
        <v>10105.896224799999</v>
      </c>
      <c r="R62" s="8">
        <f>38.614+5.756</f>
        <v>44.37</v>
      </c>
      <c r="S62" s="8">
        <v>161.753</v>
      </c>
      <c r="T62" s="8">
        <f t="shared" si="1"/>
        <v>206.123</v>
      </c>
      <c r="U62" s="8">
        <v>320.434</v>
      </c>
      <c r="V62" s="8">
        <v>98.944</v>
      </c>
      <c r="W62" s="4" t="s">
        <v>144</v>
      </c>
      <c r="X62" s="4" t="s">
        <v>142</v>
      </c>
      <c r="Y62" s="7">
        <f>IF(X62="rub",R62,R62*'Курс доллара'!$F$8)</f>
        <v>1347.0976034999999</v>
      </c>
      <c r="Z62" s="7">
        <f>IF(X62="rub",S62,S62*'Курс доллара'!$F$8)</f>
        <v>4910.9100441499995</v>
      </c>
      <c r="AA62" s="7">
        <f>IF(X62="rub",T62,T62*'Курс доллара'!$F$8)</f>
        <v>6258.00764765</v>
      </c>
      <c r="AB62" s="7">
        <f>IF(X62="rub",U62,U62*'Курс доллара'!$C$8)</f>
        <v>9765.8349746</v>
      </c>
      <c r="AC62" s="7">
        <f>IF(X62="rub",V62,V62*'Курс доллара'!$F$8)</f>
        <v>3003.9942592</v>
      </c>
      <c r="AD62" s="7" t="str">
        <f>W62</f>
        <v>мсфо</v>
      </c>
      <c r="AE62" s="4" t="s">
        <v>143</v>
      </c>
    </row>
    <row r="63" spans="1:31" ht="12.75">
      <c r="A63">
        <v>16</v>
      </c>
      <c r="B63" s="2" t="s">
        <v>15</v>
      </c>
      <c r="C63" s="1" t="s">
        <v>73</v>
      </c>
      <c r="D63" s="1">
        <v>2007</v>
      </c>
      <c r="E63" s="1">
        <v>360000000</v>
      </c>
      <c r="F63" s="1" t="s">
        <v>122</v>
      </c>
      <c r="G63" s="1">
        <v>1301910000</v>
      </c>
      <c r="H63" s="1">
        <v>2341015000</v>
      </c>
      <c r="I63" s="1">
        <v>32281.86</v>
      </c>
      <c r="J63" s="1">
        <v>-1466.683</v>
      </c>
      <c r="K63" s="1">
        <v>48930.53</v>
      </c>
      <c r="L63" s="1">
        <v>24467.2</v>
      </c>
      <c r="M63" s="1">
        <v>37048.66</v>
      </c>
      <c r="N63" s="17">
        <f t="shared" si="0"/>
        <v>0.0956797263274915</v>
      </c>
      <c r="O63" s="1">
        <v>4.26951</v>
      </c>
      <c r="P63" s="1">
        <v>3590.282</v>
      </c>
      <c r="Q63" s="1">
        <v>42921.39</v>
      </c>
      <c r="R63" s="7">
        <v>2603.68</v>
      </c>
      <c r="S63" s="7">
        <v>1743.943</v>
      </c>
      <c r="T63" s="7">
        <f t="shared" si="1"/>
        <v>4347.623</v>
      </c>
      <c r="U63" s="7">
        <v>280.04</v>
      </c>
      <c r="V63" s="7">
        <v>122.879</v>
      </c>
      <c r="W63" s="4" t="s">
        <v>144</v>
      </c>
      <c r="X63" s="4" t="s">
        <v>143</v>
      </c>
      <c r="Y63" s="7">
        <f>IF(X63="rub",R63,R63*'Курс доллара'!$F$5)</f>
        <v>2603.68</v>
      </c>
      <c r="Z63" s="7">
        <f>IF(X63="rub",S63,S63*'Курс доллара'!$F$5)</f>
        <v>1743.943</v>
      </c>
      <c r="AA63" s="7">
        <f>IF(X63="rub",T63,T63*'Курс доллара'!$F$5)</f>
        <v>4347.623</v>
      </c>
      <c r="AB63" s="7">
        <f>IF(X63="rub",U63,U63*'Курс доллара'!$C$5)</f>
        <v>280.04</v>
      </c>
      <c r="AC63" s="7">
        <f>IF(X63="rub",V63,V63*'Курс доллара'!$F$5)</f>
        <v>122.879</v>
      </c>
      <c r="AD63" s="7" t="str">
        <f t="shared" si="2"/>
        <v>мсфо</v>
      </c>
      <c r="AE63" s="4" t="s">
        <v>143</v>
      </c>
    </row>
    <row r="64" spans="2:31" ht="12.75">
      <c r="B64" s="2" t="s">
        <v>15</v>
      </c>
      <c r="C64" s="1" t="s">
        <v>73</v>
      </c>
      <c r="D64" s="1">
        <v>2008</v>
      </c>
      <c r="E64" s="1" t="s">
        <v>122</v>
      </c>
      <c r="F64" s="1" t="s">
        <v>122</v>
      </c>
      <c r="G64" s="1">
        <v>3057886000</v>
      </c>
      <c r="H64" s="1">
        <v>5509000000</v>
      </c>
      <c r="I64" s="1">
        <v>22500.36</v>
      </c>
      <c r="J64" s="1">
        <v>-2296.501</v>
      </c>
      <c r="K64" s="1">
        <v>48661.98</v>
      </c>
      <c r="L64" s="1">
        <v>41829.31</v>
      </c>
      <c r="M64" s="1">
        <v>27267.17</v>
      </c>
      <c r="N64" s="17">
        <f t="shared" si="0"/>
        <v>0.13170190949838761</v>
      </c>
      <c r="O64" s="1">
        <v>11.29032</v>
      </c>
      <c r="P64" s="1">
        <v>9905.138</v>
      </c>
      <c r="Q64" s="1">
        <v>37503.91</v>
      </c>
      <c r="R64" s="7">
        <v>2909.778</v>
      </c>
      <c r="S64" s="7">
        <v>5108.448</v>
      </c>
      <c r="T64" s="7">
        <f t="shared" si="1"/>
        <v>8018.226000000001</v>
      </c>
      <c r="U64" s="7">
        <v>870.994</v>
      </c>
      <c r="V64" s="7">
        <v>378.185</v>
      </c>
      <c r="W64" s="4" t="s">
        <v>144</v>
      </c>
      <c r="X64" s="4" t="s">
        <v>143</v>
      </c>
      <c r="Y64" s="7">
        <f>IF(X64="rub",R64,R64*'Курс доллара'!$F$6)</f>
        <v>2909.778</v>
      </c>
      <c r="Z64" s="7">
        <f>IF(X64="rub",S64,S64*'Курс доллара'!$F$6)</f>
        <v>5108.448</v>
      </c>
      <c r="AA64" s="7">
        <f>IF(X64="rub",T64,T64*'Курс доллара'!$F$6)</f>
        <v>8018.226000000001</v>
      </c>
      <c r="AB64" s="7">
        <f>IF(X64="rub",U64,U64*'Курс доллара'!$C$6)</f>
        <v>870.994</v>
      </c>
      <c r="AC64" s="7">
        <f>IF(X64="rub",V64,V64*'Курс доллара'!$F$6)</f>
        <v>378.185</v>
      </c>
      <c r="AD64" s="7" t="str">
        <f t="shared" si="2"/>
        <v>мсфо</v>
      </c>
      <c r="AE64" s="4" t="s">
        <v>143</v>
      </c>
    </row>
    <row r="65" spans="2:31" ht="12.75">
      <c r="B65" s="2" t="s">
        <v>15</v>
      </c>
      <c r="C65" s="1" t="s">
        <v>73</v>
      </c>
      <c r="D65" s="1">
        <v>2009</v>
      </c>
      <c r="E65" s="1">
        <v>906000000</v>
      </c>
      <c r="F65" s="1" t="s">
        <v>122</v>
      </c>
      <c r="G65" s="1">
        <v>3589860000</v>
      </c>
      <c r="H65" s="1">
        <v>16437000000</v>
      </c>
      <c r="I65" s="1">
        <v>39099.693</v>
      </c>
      <c r="J65" s="1">
        <v>6928.821</v>
      </c>
      <c r="K65" s="1">
        <v>83361.31</v>
      </c>
      <c r="L65" s="1">
        <v>52909.33</v>
      </c>
      <c r="M65" s="1">
        <v>43704.71</v>
      </c>
      <c r="N65" s="17">
        <f t="shared" si="0"/>
        <v>0.3106635445960098</v>
      </c>
      <c r="O65" s="1">
        <v>24.90098</v>
      </c>
      <c r="P65" s="1">
        <v>21630.47</v>
      </c>
      <c r="Q65" s="1">
        <v>55002.621</v>
      </c>
      <c r="R65" s="7">
        <v>2781.373</v>
      </c>
      <c r="S65" s="7">
        <v>7664.972</v>
      </c>
      <c r="T65" s="7">
        <f t="shared" si="1"/>
        <v>10446.345</v>
      </c>
      <c r="U65" s="7">
        <v>500.36</v>
      </c>
      <c r="V65" s="7">
        <v>1767.689</v>
      </c>
      <c r="W65" s="4" t="s">
        <v>144</v>
      </c>
      <c r="X65" s="4" t="s">
        <v>143</v>
      </c>
      <c r="Y65" s="7">
        <f>IF(X65="rub",R65,R65*'Курс доллара'!$F$7)</f>
        <v>2781.373</v>
      </c>
      <c r="Z65" s="7">
        <f>IF(X65="rub",S65,S65*'Курс доллара'!$F$7)</f>
        <v>7664.972</v>
      </c>
      <c r="AA65" s="7">
        <f>IF(X65="rub",T65,T65*'Курс доллара'!$F$7)</f>
        <v>10446.345</v>
      </c>
      <c r="AB65" s="7">
        <f>IF(X65="rub",U65,U65*'Курс доллара'!$C$7)</f>
        <v>500.36</v>
      </c>
      <c r="AC65" s="7">
        <f>IF(X65="rub",V65,V65*'Курс доллара'!$F$7)</f>
        <v>1767.689</v>
      </c>
      <c r="AD65" s="7" t="str">
        <f t="shared" si="2"/>
        <v>мсфо</v>
      </c>
      <c r="AE65" s="4" t="s">
        <v>143</v>
      </c>
    </row>
    <row r="66" spans="2:31" ht="12.75">
      <c r="B66" s="2" t="s">
        <v>15</v>
      </c>
      <c r="C66" s="1" t="s">
        <v>73</v>
      </c>
      <c r="D66" s="1">
        <v>2010</v>
      </c>
      <c r="E66" s="1">
        <v>892600000</v>
      </c>
      <c r="F66" s="1"/>
      <c r="G66" s="1"/>
      <c r="H66" s="1">
        <v>13074000000</v>
      </c>
      <c r="I66" s="1">
        <v>51283.954</v>
      </c>
      <c r="J66" s="1"/>
      <c r="K66" s="1">
        <v>89202.5</v>
      </c>
      <c r="L66" s="1">
        <v>64072.383</v>
      </c>
      <c r="M66" s="1">
        <v>55888.953</v>
      </c>
      <c r="N66" s="17">
        <f t="shared" si="0"/>
        <v>0.2040504721043386</v>
      </c>
      <c r="O66" s="1"/>
      <c r="P66" s="1">
        <f>7005.184+831.32+681.502+5525.72+467.818+146.637</f>
        <v>14658.180999999999</v>
      </c>
      <c r="Q66" s="1">
        <v>55806.359</v>
      </c>
      <c r="R66" s="7">
        <v>4594.122</v>
      </c>
      <c r="S66" s="7">
        <v>14004.516</v>
      </c>
      <c r="T66" s="7">
        <f t="shared" si="1"/>
        <v>18598.638</v>
      </c>
      <c r="U66" s="7">
        <v>646.6</v>
      </c>
      <c r="V66" s="7">
        <v>1936.627</v>
      </c>
      <c r="W66" s="4" t="s">
        <v>144</v>
      </c>
      <c r="X66" s="4" t="s">
        <v>143</v>
      </c>
      <c r="Y66" s="7">
        <f>IF(X66="rub",R66,R66*'Курс доллара'!$F$8)</f>
        <v>4594.122</v>
      </c>
      <c r="Z66" s="7">
        <f>IF(X66="rub",S66,S66*'Курс доллара'!$F$8)</f>
        <v>14004.516</v>
      </c>
      <c r="AA66" s="7">
        <f>IF(X66="rub",T66,T66*'Курс доллара'!$F$8)</f>
        <v>18598.638</v>
      </c>
      <c r="AB66" s="7">
        <f>IF(X66="rub",U66,U66*'Курс доллара'!$C$8)</f>
        <v>646.6</v>
      </c>
      <c r="AC66" s="7">
        <f>IF(X66="rub",V66,V66*'Курс доллара'!$F$8)</f>
        <v>1936.627</v>
      </c>
      <c r="AD66" s="7" t="str">
        <f>W66</f>
        <v>мсфо</v>
      </c>
      <c r="AE66" s="4" t="s">
        <v>143</v>
      </c>
    </row>
    <row r="67" spans="1:31" ht="12.75">
      <c r="A67">
        <v>17</v>
      </c>
      <c r="B67" s="2" t="s">
        <v>16</v>
      </c>
      <c r="C67" s="1" t="s">
        <v>74</v>
      </c>
      <c r="D67" s="1">
        <v>2007</v>
      </c>
      <c r="E67" s="1">
        <v>4622681</v>
      </c>
      <c r="F67" s="1" t="s">
        <v>122</v>
      </c>
      <c r="G67" s="1">
        <v>150826000</v>
      </c>
      <c r="H67" s="1" t="s">
        <v>122</v>
      </c>
      <c r="I67" s="1">
        <v>1254.999</v>
      </c>
      <c r="J67" s="1" t="s">
        <v>122</v>
      </c>
      <c r="K67" s="1">
        <v>14349</v>
      </c>
      <c r="L67" s="1">
        <v>6697</v>
      </c>
      <c r="M67" s="1">
        <v>3335.406</v>
      </c>
      <c r="N67" s="17">
        <f>G67/L67/1000000</f>
        <v>0.02252142750485292</v>
      </c>
      <c r="O67" s="1">
        <v>5.338606</v>
      </c>
      <c r="P67" s="1">
        <v>6118</v>
      </c>
      <c r="Q67" s="1">
        <v>1409</v>
      </c>
      <c r="R67" s="8" t="s">
        <v>140</v>
      </c>
      <c r="S67" s="7">
        <v>962.589</v>
      </c>
      <c r="T67" s="7" t="e">
        <f t="shared" si="1"/>
        <v>#VALUE!</v>
      </c>
      <c r="U67" s="7">
        <v>1790.107</v>
      </c>
      <c r="V67" s="7">
        <v>373.245</v>
      </c>
      <c r="W67" s="4" t="s">
        <v>139</v>
      </c>
      <c r="X67" s="4" t="s">
        <v>143</v>
      </c>
      <c r="Y67" s="7" t="str">
        <f>IF(X67="rub",R67,R67*'Курс доллара'!$F$5)</f>
        <v>нет инфо</v>
      </c>
      <c r="Z67" s="7">
        <f>IF(X67="rub",S67,S67*'Курс доллара'!$F$5)</f>
        <v>962.589</v>
      </c>
      <c r="AA67" s="7" t="e">
        <f>IF(X67="rub",T67,T67*'Курс доллара'!$F$5)</f>
        <v>#VALUE!</v>
      </c>
      <c r="AB67" s="7">
        <f>IF(X67="rub",U67,U67*'Курс доллара'!$C$5)</f>
        <v>1790.107</v>
      </c>
      <c r="AC67" s="7">
        <f>IF(X67="rub",V67,V67*'Курс доллара'!$F$5)</f>
        <v>373.245</v>
      </c>
      <c r="AD67" s="7" t="str">
        <f t="shared" si="2"/>
        <v>рсбу</v>
      </c>
      <c r="AE67" s="4" t="s">
        <v>143</v>
      </c>
    </row>
    <row r="68" spans="2:31" ht="12.75">
      <c r="B68" s="2" t="s">
        <v>16</v>
      </c>
      <c r="C68" s="1" t="s">
        <v>74</v>
      </c>
      <c r="D68" s="1">
        <v>2008</v>
      </c>
      <c r="E68" s="1" t="s">
        <v>122</v>
      </c>
      <c r="F68" s="1" t="s">
        <v>122</v>
      </c>
      <c r="G68" s="1" t="s">
        <v>122</v>
      </c>
      <c r="H68" s="1" t="s">
        <v>122</v>
      </c>
      <c r="I68" s="1">
        <v>1566</v>
      </c>
      <c r="J68" s="1" t="s">
        <v>122</v>
      </c>
      <c r="K68" s="1">
        <v>17007</v>
      </c>
      <c r="L68" s="1">
        <v>11167</v>
      </c>
      <c r="M68" s="1">
        <v>3647.406</v>
      </c>
      <c r="N68" s="17"/>
      <c r="O68" s="1">
        <v>2.825615</v>
      </c>
      <c r="P68" s="1">
        <v>5188</v>
      </c>
      <c r="Q68" s="1">
        <v>1824</v>
      </c>
      <c r="R68" s="8" t="s">
        <v>140</v>
      </c>
      <c r="S68" s="7">
        <v>1499.063</v>
      </c>
      <c r="T68" s="7" t="e">
        <f t="shared" si="1"/>
        <v>#VALUE!</v>
      </c>
      <c r="U68" s="7">
        <v>2572.479</v>
      </c>
      <c r="V68" s="7">
        <v>610.621</v>
      </c>
      <c r="W68" s="4" t="s">
        <v>139</v>
      </c>
      <c r="X68" s="4" t="s">
        <v>143</v>
      </c>
      <c r="Y68" s="7" t="str">
        <f>IF(X68="rub",R68,R68*'Курс доллара'!$F$6)</f>
        <v>нет инфо</v>
      </c>
      <c r="Z68" s="7">
        <f>IF(X68="rub",S68,S68*'Курс доллара'!$F$6)</f>
        <v>1499.063</v>
      </c>
      <c r="AA68" s="7" t="e">
        <f>IF(X68="rub",T68,T68*'Курс доллара'!$F$6)</f>
        <v>#VALUE!</v>
      </c>
      <c r="AB68" s="7">
        <f>IF(X68="rub",U68,U68*'Курс доллара'!$C$6)</f>
        <v>2572.479</v>
      </c>
      <c r="AC68" s="7">
        <f>IF(X68="rub",V68,V68*'Курс доллара'!$F$6)</f>
        <v>610.621</v>
      </c>
      <c r="AD68" s="7" t="str">
        <f t="shared" si="2"/>
        <v>рсбу</v>
      </c>
      <c r="AE68" s="4" t="s">
        <v>143</v>
      </c>
    </row>
    <row r="69" spans="2:31" ht="12.75">
      <c r="B69" s="2" t="s">
        <v>16</v>
      </c>
      <c r="C69" s="1" t="s">
        <v>74</v>
      </c>
      <c r="D69" s="1">
        <v>2009</v>
      </c>
      <c r="E69" s="1">
        <v>383682581</v>
      </c>
      <c r="F69" s="1" t="s">
        <v>122</v>
      </c>
      <c r="G69" s="1">
        <v>1541561000</v>
      </c>
      <c r="H69" s="1" t="s">
        <v>122</v>
      </c>
      <c r="I69" s="1">
        <v>3020</v>
      </c>
      <c r="J69" s="1" t="s">
        <v>122</v>
      </c>
      <c r="K69" s="1">
        <v>28071</v>
      </c>
      <c r="L69" s="1">
        <v>15059</v>
      </c>
      <c r="M69" s="1">
        <v>5101.406</v>
      </c>
      <c r="N69" s="17">
        <f>G69/L69/1000000</f>
        <v>0.1023680855302477</v>
      </c>
      <c r="O69" s="1">
        <v>6.901461</v>
      </c>
      <c r="P69" s="1">
        <v>7895</v>
      </c>
      <c r="Q69" s="1">
        <v>2346</v>
      </c>
      <c r="R69" s="8" t="s">
        <v>140</v>
      </c>
      <c r="S69" s="7">
        <v>1996</v>
      </c>
      <c r="T69" s="7" t="e">
        <f t="shared" si="1"/>
        <v>#VALUE!</v>
      </c>
      <c r="U69" s="7">
        <v>5695</v>
      </c>
      <c r="V69" s="7">
        <v>662</v>
      </c>
      <c r="W69" s="4" t="s">
        <v>139</v>
      </c>
      <c r="X69" s="4" t="s">
        <v>143</v>
      </c>
      <c r="Y69" s="7" t="str">
        <f>IF(X69="rub",R69,R69*'Курс доллара'!$F$7)</f>
        <v>нет инфо</v>
      </c>
      <c r="Z69" s="7">
        <f>IF(X69="rub",S69,S69*'Курс доллара'!$F$7)</f>
        <v>1996</v>
      </c>
      <c r="AA69" s="7" t="e">
        <f>IF(X69="rub",T69,T69*'Курс доллара'!$F$7)</f>
        <v>#VALUE!</v>
      </c>
      <c r="AB69" s="7">
        <f>IF(X69="rub",U69,U69*'Курс доллара'!$C$7)</f>
        <v>5695</v>
      </c>
      <c r="AC69" s="7">
        <f>IF(X69="rub",V69,V69*'Курс доллара'!$F$7)</f>
        <v>662</v>
      </c>
      <c r="AD69" s="7" t="str">
        <f t="shared" si="2"/>
        <v>рсбу</v>
      </c>
      <c r="AE69" s="4" t="s">
        <v>143</v>
      </c>
    </row>
    <row r="70" spans="2:31" ht="12.75">
      <c r="B70" s="2" t="s">
        <v>16</v>
      </c>
      <c r="C70" s="1" t="s">
        <v>74</v>
      </c>
      <c r="D70" s="1">
        <v>2010</v>
      </c>
      <c r="E70" s="1"/>
      <c r="F70" s="1"/>
      <c r="G70" s="1"/>
      <c r="H70" s="1"/>
      <c r="I70" s="1"/>
      <c r="J70" s="1"/>
      <c r="K70" s="1"/>
      <c r="L70" s="1"/>
      <c r="M70" s="1"/>
      <c r="N70" s="17"/>
      <c r="O70" s="1"/>
      <c r="P70" s="1"/>
      <c r="Q70" s="1"/>
      <c r="R70" s="8"/>
      <c r="S70" s="7"/>
      <c r="T70" s="7"/>
      <c r="U70" s="7"/>
      <c r="V70" s="7"/>
      <c r="W70" s="4"/>
      <c r="X70" s="4"/>
      <c r="Y70" s="7"/>
      <c r="Z70" s="7"/>
      <c r="AA70" s="7"/>
      <c r="AB70" s="7"/>
      <c r="AC70" s="7"/>
      <c r="AD70" s="7"/>
      <c r="AE70" s="4"/>
    </row>
    <row r="71" spans="1:31" ht="12.75">
      <c r="A71">
        <v>18</v>
      </c>
      <c r="B71" s="2" t="s">
        <v>17</v>
      </c>
      <c r="C71" s="1" t="s">
        <v>75</v>
      </c>
      <c r="D71" s="1">
        <v>2007</v>
      </c>
      <c r="E71" s="1">
        <v>198000000</v>
      </c>
      <c r="F71" s="1" t="s">
        <v>122</v>
      </c>
      <c r="G71" s="1">
        <v>388002000</v>
      </c>
      <c r="H71" s="1">
        <v>534000000</v>
      </c>
      <c r="I71" s="1">
        <v>2606.833</v>
      </c>
      <c r="J71" s="1">
        <v>-382.536</v>
      </c>
      <c r="K71" s="1">
        <v>9374.81</v>
      </c>
      <c r="L71" s="1">
        <v>10120.84</v>
      </c>
      <c r="M71" s="1">
        <v>4120.054</v>
      </c>
      <c r="N71" s="17">
        <f aca="true" t="shared" si="3" ref="N71:N129">H71/L71/1000000</f>
        <v>0.05276241892965406</v>
      </c>
      <c r="O71" s="1">
        <v>6.079828</v>
      </c>
      <c r="P71" s="1">
        <v>2778.471</v>
      </c>
      <c r="Q71" s="1">
        <v>2843.482</v>
      </c>
      <c r="R71" s="7">
        <v>293.94</v>
      </c>
      <c r="S71" s="7">
        <v>893.686</v>
      </c>
      <c r="T71" s="7">
        <f t="shared" si="1"/>
        <v>1187.626</v>
      </c>
      <c r="U71" s="7">
        <v>189.009</v>
      </c>
      <c r="V71" s="7">
        <v>158.953</v>
      </c>
      <c r="W71" s="4" t="s">
        <v>144</v>
      </c>
      <c r="X71" s="4" t="s">
        <v>143</v>
      </c>
      <c r="Y71" s="7">
        <f>IF(X71="rub",R71,R71*'Курс доллара'!$F$5)</f>
        <v>293.94</v>
      </c>
      <c r="Z71" s="7">
        <f>IF(X71="rub",S71,S71*'Курс доллара'!$F$5)</f>
        <v>893.686</v>
      </c>
      <c r="AA71" s="7">
        <f>IF(X71="rub",T71,T71*'Курс доллара'!$F$5)</f>
        <v>1187.626</v>
      </c>
      <c r="AB71" s="7">
        <f>IF(X71="rub",U71,U71*'Курс доллара'!$C$5)</f>
        <v>189.009</v>
      </c>
      <c r="AC71" s="7">
        <f>IF(X71="rub",V71,V71*'Курс доллара'!$F$5)</f>
        <v>158.953</v>
      </c>
      <c r="AD71" s="7" t="str">
        <f t="shared" si="2"/>
        <v>мсфо</v>
      </c>
      <c r="AE71" s="4" t="s">
        <v>143</v>
      </c>
    </row>
    <row r="72" spans="2:31" ht="12.75">
      <c r="B72" s="2" t="s">
        <v>17</v>
      </c>
      <c r="C72" s="1" t="s">
        <v>75</v>
      </c>
      <c r="D72" s="1">
        <v>2008</v>
      </c>
      <c r="E72" s="1">
        <v>99000000</v>
      </c>
      <c r="F72" s="1" t="s">
        <v>122</v>
      </c>
      <c r="G72" s="1">
        <v>809810000</v>
      </c>
      <c r="H72" s="1">
        <v>231000000</v>
      </c>
      <c r="I72" s="1">
        <v>2443.332</v>
      </c>
      <c r="J72" s="1">
        <v>28.13</v>
      </c>
      <c r="K72" s="1">
        <v>10848.18</v>
      </c>
      <c r="L72" s="1">
        <v>12028.75</v>
      </c>
      <c r="M72" s="1">
        <v>3959.682</v>
      </c>
      <c r="N72" s="17">
        <f t="shared" si="3"/>
        <v>0.01920399043957186</v>
      </c>
      <c r="O72" s="1">
        <v>2.283787</v>
      </c>
      <c r="P72" s="1">
        <v>3751.804</v>
      </c>
      <c r="Q72" s="1">
        <v>3290.258</v>
      </c>
      <c r="R72" s="7">
        <v>347.859</v>
      </c>
      <c r="S72" s="7">
        <v>771.68</v>
      </c>
      <c r="T72" s="7">
        <f t="shared" si="1"/>
        <v>1119.539</v>
      </c>
      <c r="U72" s="7">
        <v>293.794</v>
      </c>
      <c r="V72" s="7">
        <v>382.697</v>
      </c>
      <c r="W72" s="4" t="s">
        <v>144</v>
      </c>
      <c r="X72" s="4" t="s">
        <v>143</v>
      </c>
      <c r="Y72" s="7">
        <f>IF(X72="rub",R72,R72*'Курс доллара'!$F$6)</f>
        <v>347.859</v>
      </c>
      <c r="Z72" s="7">
        <f>IF(X72="rub",S72,S72*'Курс доллара'!$F$6)</f>
        <v>771.68</v>
      </c>
      <c r="AA72" s="7">
        <f>IF(X72="rub",T72,T72*'Курс доллара'!$F$6)</f>
        <v>1119.539</v>
      </c>
      <c r="AB72" s="7">
        <f>IF(X72="rub",U72,U72*'Курс доллара'!$C$6)</f>
        <v>293.794</v>
      </c>
      <c r="AC72" s="7">
        <f>IF(X72="rub",V72,V72*'Курс доллара'!$F$6)</f>
        <v>382.697</v>
      </c>
      <c r="AD72" s="7" t="str">
        <f t="shared" si="2"/>
        <v>мсфо</v>
      </c>
      <c r="AE72" s="4" t="s">
        <v>143</v>
      </c>
    </row>
    <row r="73" spans="2:31" ht="12.75">
      <c r="B73" s="2" t="s">
        <v>17</v>
      </c>
      <c r="C73" s="1" t="s">
        <v>75</v>
      </c>
      <c r="D73" s="1">
        <v>2009</v>
      </c>
      <c r="E73" s="1">
        <v>158000000</v>
      </c>
      <c r="F73" s="1" t="s">
        <v>122</v>
      </c>
      <c r="G73" s="1">
        <v>649414000</v>
      </c>
      <c r="H73" s="1">
        <v>415000000</v>
      </c>
      <c r="I73" s="1">
        <v>2196.221</v>
      </c>
      <c r="J73" s="1">
        <v>652.8</v>
      </c>
      <c r="K73" s="1">
        <v>10696.94</v>
      </c>
      <c r="L73" s="1">
        <v>10175.13</v>
      </c>
      <c r="M73" s="1">
        <v>3727.503</v>
      </c>
      <c r="N73" s="17">
        <f t="shared" si="3"/>
        <v>0.04078571969105063</v>
      </c>
      <c r="O73" s="1">
        <v>3.832507</v>
      </c>
      <c r="P73" s="1">
        <v>3765.053</v>
      </c>
      <c r="Q73" s="1">
        <v>2810.119</v>
      </c>
      <c r="R73" s="7">
        <v>321.587</v>
      </c>
      <c r="S73" s="7">
        <v>1224.162</v>
      </c>
      <c r="T73" s="7">
        <f t="shared" si="1"/>
        <v>1545.749</v>
      </c>
      <c r="U73" s="7">
        <v>555.444</v>
      </c>
      <c r="V73" s="7">
        <v>537.147</v>
      </c>
      <c r="W73" s="4" t="s">
        <v>144</v>
      </c>
      <c r="X73" s="4" t="s">
        <v>143</v>
      </c>
      <c r="Y73" s="7">
        <f>IF(X73="rub",R73,R73*'Курс доллара'!$F$7)</f>
        <v>321.587</v>
      </c>
      <c r="Z73" s="7">
        <f>IF(X73="rub",S73,S73*'Курс доллара'!$F$7)</f>
        <v>1224.162</v>
      </c>
      <c r="AA73" s="7">
        <f>IF(X73="rub",T73,T73*'Курс доллара'!$F$7)</f>
        <v>1545.749</v>
      </c>
      <c r="AB73" s="7">
        <f>IF(X73="rub",U73,U73*'Курс доллара'!$C$7)</f>
        <v>555.444</v>
      </c>
      <c r="AC73" s="7">
        <f>IF(X73="rub",V73,V73*'Курс доллара'!$F$7)</f>
        <v>537.147</v>
      </c>
      <c r="AD73" s="7" t="str">
        <f t="shared" si="2"/>
        <v>мсфо</v>
      </c>
      <c r="AE73" s="4" t="s">
        <v>143</v>
      </c>
    </row>
    <row r="74" spans="2:31" ht="12.75">
      <c r="B74" s="2" t="s">
        <v>17</v>
      </c>
      <c r="C74" s="1" t="s">
        <v>75</v>
      </c>
      <c r="D74" s="1">
        <v>2010</v>
      </c>
      <c r="E74" s="1">
        <v>179678000</v>
      </c>
      <c r="F74" s="1"/>
      <c r="G74" s="1"/>
      <c r="H74" s="1">
        <v>975347000</v>
      </c>
      <c r="I74" s="1">
        <v>3718.975</v>
      </c>
      <c r="J74" s="1"/>
      <c r="K74" s="1">
        <v>10994.742</v>
      </c>
      <c r="L74" s="1">
        <v>11672.588</v>
      </c>
      <c r="M74" s="1">
        <v>3310.652</v>
      </c>
      <c r="N74" s="17">
        <f t="shared" si="3"/>
        <v>0.08355876177588038</v>
      </c>
      <c r="O74" s="1"/>
      <c r="P74" s="1">
        <f>2958.782+1498.96</f>
        <v>4457.742</v>
      </c>
      <c r="Q74" s="1">
        <f>2090.978+24.554</f>
        <v>2115.532</v>
      </c>
      <c r="R74" s="7">
        <f>367.112+29.899</f>
        <v>397.011</v>
      </c>
      <c r="S74" s="7">
        <v>502.605</v>
      </c>
      <c r="T74" s="7">
        <f t="shared" si="1"/>
        <v>899.616</v>
      </c>
      <c r="U74" s="7">
        <v>758.678</v>
      </c>
      <c r="V74" s="7">
        <v>408.565</v>
      </c>
      <c r="W74" s="4" t="s">
        <v>144</v>
      </c>
      <c r="X74" s="4" t="s">
        <v>143</v>
      </c>
      <c r="Y74" s="7">
        <f>IF(X74="rub",R74,R74*'Курс доллара'!$F$8)</f>
        <v>397.011</v>
      </c>
      <c r="Z74" s="7">
        <f>IF(X74="rub",S74,S74*'Курс доллара'!$F$8)</f>
        <v>502.605</v>
      </c>
      <c r="AA74" s="7">
        <f>IF(X74="rub",T74,T74*'Курс доллара'!$F$8)</f>
        <v>899.616</v>
      </c>
      <c r="AB74" s="7">
        <f>IF(X74="rub",U74,U74*'Курс доллара'!$C$8)</f>
        <v>758.678</v>
      </c>
      <c r="AC74" s="7">
        <f>IF(X74="rub",V74,V74*'Курс доллара'!$F$8)</f>
        <v>408.565</v>
      </c>
      <c r="AD74" s="7" t="str">
        <f>W74</f>
        <v>мсфо</v>
      </c>
      <c r="AE74" s="4" t="s">
        <v>143</v>
      </c>
    </row>
    <row r="75" spans="1:31" ht="12.75">
      <c r="A75">
        <v>19</v>
      </c>
      <c r="B75" s="2" t="s">
        <v>18</v>
      </c>
      <c r="C75" s="1" t="s">
        <v>76</v>
      </c>
      <c r="D75" s="1">
        <v>2007</v>
      </c>
      <c r="E75" s="1">
        <v>7435000</v>
      </c>
      <c r="F75" s="1">
        <v>2108000</v>
      </c>
      <c r="G75" s="1">
        <v>9570044</v>
      </c>
      <c r="H75" s="1" t="s">
        <v>122</v>
      </c>
      <c r="I75" s="1">
        <v>-5.944</v>
      </c>
      <c r="J75" s="1" t="s">
        <v>122</v>
      </c>
      <c r="K75" s="1">
        <v>1519.3029999999999</v>
      </c>
      <c r="L75" s="1">
        <v>18699.06</v>
      </c>
      <c r="M75" s="1">
        <v>133.592</v>
      </c>
      <c r="N75" s="17">
        <f>G75/L75/1000000</f>
        <v>0.0005117927853057854</v>
      </c>
      <c r="O75" s="1" t="s">
        <v>122</v>
      </c>
      <c r="P75" s="1">
        <v>300.647</v>
      </c>
      <c r="Q75" s="1">
        <v>132.673</v>
      </c>
      <c r="R75" s="7">
        <v>16.35</v>
      </c>
      <c r="S75" s="7">
        <v>92.427</v>
      </c>
      <c r="T75" s="7">
        <f t="shared" si="1"/>
        <v>108.77700000000002</v>
      </c>
      <c r="U75" s="7">
        <v>529.694</v>
      </c>
      <c r="V75" s="7">
        <v>28.727</v>
      </c>
      <c r="W75" s="4" t="s">
        <v>139</v>
      </c>
      <c r="X75" s="4" t="s">
        <v>143</v>
      </c>
      <c r="Y75" s="7">
        <f>IF(X75="rub",R75,R75*'Курс доллара'!$F$5)</f>
        <v>16.35</v>
      </c>
      <c r="Z75" s="7">
        <f>IF(X75="rub",S75,S75*'Курс доллара'!$F$5)</f>
        <v>92.427</v>
      </c>
      <c r="AA75" s="7">
        <f>IF(X75="rub",T75,T75*'Курс доллара'!$F$5)</f>
        <v>108.77700000000002</v>
      </c>
      <c r="AB75" s="7">
        <f>IF(X75="rub",U75,U75*'Курс доллара'!$C$5)</f>
        <v>529.694</v>
      </c>
      <c r="AC75" s="7">
        <f>IF(X75="rub",V75,V75*'Курс доллара'!$F$5)</f>
        <v>28.727</v>
      </c>
      <c r="AD75" s="7" t="str">
        <f t="shared" si="2"/>
        <v>рсбу</v>
      </c>
      <c r="AE75" s="4" t="s">
        <v>143</v>
      </c>
    </row>
    <row r="76" spans="2:31" ht="12.75">
      <c r="B76" s="2" t="s">
        <v>18</v>
      </c>
      <c r="C76" s="1" t="s">
        <v>76</v>
      </c>
      <c r="D76" s="1">
        <v>2008</v>
      </c>
      <c r="E76" s="1">
        <v>286409000</v>
      </c>
      <c r="F76" s="1">
        <v>113591000</v>
      </c>
      <c r="G76" s="1">
        <v>1285561730</v>
      </c>
      <c r="H76" s="1" t="s">
        <v>122</v>
      </c>
      <c r="I76" s="1">
        <v>1279.619</v>
      </c>
      <c r="J76" s="1" t="s">
        <v>122</v>
      </c>
      <c r="K76" s="1">
        <v>3115.3039999999996</v>
      </c>
      <c r="L76" s="1">
        <v>26414.74</v>
      </c>
      <c r="M76" s="1">
        <v>1419.154</v>
      </c>
      <c r="N76" s="17">
        <f>G76/L76/1000000</f>
        <v>0.048668346915396475</v>
      </c>
      <c r="O76" s="1">
        <v>55.47663</v>
      </c>
      <c r="P76" s="1">
        <v>0</v>
      </c>
      <c r="Q76" s="1">
        <v>138.461</v>
      </c>
      <c r="R76" s="7">
        <v>15.904</v>
      </c>
      <c r="S76" s="7">
        <v>1652.486</v>
      </c>
      <c r="T76" s="7">
        <f t="shared" si="1"/>
        <v>1668.39</v>
      </c>
      <c r="U76" s="7">
        <v>216.363</v>
      </c>
      <c r="V76" s="7">
        <v>23.222</v>
      </c>
      <c r="W76" s="4" t="s">
        <v>139</v>
      </c>
      <c r="X76" s="4" t="s">
        <v>143</v>
      </c>
      <c r="Y76" s="7">
        <f>IF(X76="rub",R76,R76*'Курс доллара'!$F$6)</f>
        <v>15.904</v>
      </c>
      <c r="Z76" s="7">
        <f>IF(X76="rub",S76,S76*'Курс доллара'!$F$6)</f>
        <v>1652.486</v>
      </c>
      <c r="AA76" s="7">
        <f>IF(X76="rub",T76,T76*'Курс доллара'!$F$6)</f>
        <v>1668.39</v>
      </c>
      <c r="AB76" s="7">
        <f>IF(X76="rub",U76,U76*'Курс доллара'!$C$6)</f>
        <v>216.363</v>
      </c>
      <c r="AC76" s="7">
        <f>IF(X76="rub",V76,V76*'Курс доллара'!$F$6)</f>
        <v>23.222</v>
      </c>
      <c r="AD76" s="7" t="str">
        <f t="shared" si="2"/>
        <v>рсбу</v>
      </c>
      <c r="AE76" s="4" t="s">
        <v>143</v>
      </c>
    </row>
    <row r="77" spans="2:31" ht="12.75">
      <c r="B77" s="2" t="s">
        <v>18</v>
      </c>
      <c r="C77" s="1" t="s">
        <v>76</v>
      </c>
      <c r="D77" s="1">
        <v>2009</v>
      </c>
      <c r="E77" s="1">
        <v>107313808</v>
      </c>
      <c r="F77" s="1">
        <v>58661442</v>
      </c>
      <c r="G77" s="1">
        <v>663901029</v>
      </c>
      <c r="H77" s="1" t="s">
        <v>122</v>
      </c>
      <c r="I77" s="1">
        <v>1555.216</v>
      </c>
      <c r="J77" s="1" t="s">
        <v>122</v>
      </c>
      <c r="K77" s="1">
        <v>3552.1209999999996</v>
      </c>
      <c r="L77" s="1">
        <v>16979.26</v>
      </c>
      <c r="M77" s="1">
        <v>1694.498</v>
      </c>
      <c r="N77" s="17">
        <f>G77/L77/1000000</f>
        <v>0.039100704565452206</v>
      </c>
      <c r="O77" s="1">
        <v>19.91476</v>
      </c>
      <c r="P77" s="1">
        <v>0</v>
      </c>
      <c r="Q77" s="1">
        <v>144.605</v>
      </c>
      <c r="R77" s="7">
        <v>19.033</v>
      </c>
      <c r="S77" s="7">
        <v>790.695</v>
      </c>
      <c r="T77" s="7">
        <f t="shared" si="1"/>
        <v>809.7280000000001</v>
      </c>
      <c r="U77" s="7">
        <v>270.11</v>
      </c>
      <c r="V77" s="7">
        <v>0</v>
      </c>
      <c r="W77" s="4" t="s">
        <v>139</v>
      </c>
      <c r="X77" s="4" t="s">
        <v>143</v>
      </c>
      <c r="Y77" s="7">
        <f>IF(X77="rub",R77,R77*'Курс доллара'!$F$7)</f>
        <v>19.033</v>
      </c>
      <c r="Z77" s="7">
        <f>IF(X77="rub",S77,S77*'Курс доллара'!$F$7)</f>
        <v>790.695</v>
      </c>
      <c r="AA77" s="7">
        <f>IF(X77="rub",T77,T77*'Курс доллара'!$F$7)</f>
        <v>809.7280000000001</v>
      </c>
      <c r="AB77" s="7">
        <f>IF(X77="rub",U77,U77*'Курс доллара'!$C$7)</f>
        <v>270.11</v>
      </c>
      <c r="AC77" s="7">
        <f>IF(X77="rub",V77,V77*'Курс доллара'!$F$7)</f>
        <v>0</v>
      </c>
      <c r="AD77" s="7" t="str">
        <f t="shared" si="2"/>
        <v>рсбу</v>
      </c>
      <c r="AE77" s="4" t="s">
        <v>143</v>
      </c>
    </row>
    <row r="78" spans="2:31" ht="12.75">
      <c r="B78" s="2" t="s">
        <v>18</v>
      </c>
      <c r="C78" s="1" t="s">
        <v>76</v>
      </c>
      <c r="D78" s="1">
        <v>2010</v>
      </c>
      <c r="E78" s="1"/>
      <c r="F78" s="1"/>
      <c r="G78" s="1"/>
      <c r="H78" s="1"/>
      <c r="I78" s="1"/>
      <c r="J78" s="1"/>
      <c r="K78" s="1"/>
      <c r="L78" s="1"/>
      <c r="M78" s="1"/>
      <c r="N78" s="17"/>
      <c r="O78" s="1"/>
      <c r="P78" s="1"/>
      <c r="Q78" s="1"/>
      <c r="R78" s="7"/>
      <c r="S78" s="7"/>
      <c r="T78" s="7"/>
      <c r="U78" s="7"/>
      <c r="V78" s="7"/>
      <c r="W78" s="4"/>
      <c r="X78" s="4"/>
      <c r="Y78" s="7"/>
      <c r="Z78" s="7"/>
      <c r="AA78" s="7"/>
      <c r="AB78" s="7"/>
      <c r="AC78" s="7"/>
      <c r="AD78" s="7"/>
      <c r="AE78" s="4"/>
    </row>
    <row r="79" spans="1:31" ht="12.75">
      <c r="A79">
        <v>20</v>
      </c>
      <c r="B79" s="2" t="s">
        <v>19</v>
      </c>
      <c r="C79" s="1" t="s">
        <v>77</v>
      </c>
      <c r="D79" s="1">
        <v>2007</v>
      </c>
      <c r="E79" s="1">
        <v>35724000000</v>
      </c>
      <c r="F79" s="1" t="s">
        <v>122</v>
      </c>
      <c r="G79" s="1">
        <v>65127177000</v>
      </c>
      <c r="H79" s="1">
        <v>243021000000</v>
      </c>
      <c r="I79" s="1">
        <v>904256</v>
      </c>
      <c r="J79" s="1">
        <v>46283.98</v>
      </c>
      <c r="K79" s="1">
        <v>1469321</v>
      </c>
      <c r="L79" s="1">
        <v>1709643</v>
      </c>
      <c r="M79" s="1">
        <v>1015480</v>
      </c>
      <c r="N79" s="17">
        <f t="shared" si="3"/>
        <v>0.14214722020913137</v>
      </c>
      <c r="O79" s="1">
        <v>17.63435</v>
      </c>
      <c r="P79" s="1">
        <v>173538.1</v>
      </c>
      <c r="Q79" s="1">
        <v>961346.4</v>
      </c>
      <c r="R79" s="8">
        <v>2172</v>
      </c>
      <c r="S79" s="8">
        <v>13071</v>
      </c>
      <c r="T79" s="8">
        <f t="shared" si="1"/>
        <v>15243</v>
      </c>
      <c r="U79" s="8">
        <v>841</v>
      </c>
      <c r="V79" s="8">
        <v>333</v>
      </c>
      <c r="W79" s="4" t="s">
        <v>144</v>
      </c>
      <c r="X79" s="4" t="s">
        <v>142</v>
      </c>
      <c r="Y79" s="7">
        <f>IF(X79="rub",R79,R79*'Курс доллара'!$F$5)</f>
        <v>55252.7478</v>
      </c>
      <c r="Z79" s="7">
        <f>IF(X79="rub",S79,S79*'Курс доллара'!$F$5)</f>
        <v>332508.59414999996</v>
      </c>
      <c r="AA79" s="7">
        <f>IF(X79="rub",T79,T79*'Курс доллара'!$F$5)</f>
        <v>387761.34195</v>
      </c>
      <c r="AB79" s="7">
        <f>IF(X79="rub",U79,U79*'Курс доллара'!$C$5)</f>
        <v>20643.354199999998</v>
      </c>
      <c r="AC79" s="7">
        <f>IF(X79="rub",V79,V79*'Курс доллара'!$F$5)</f>
        <v>8471.07045</v>
      </c>
      <c r="AD79" s="7" t="str">
        <f t="shared" si="2"/>
        <v>мсфо</v>
      </c>
      <c r="AE79" s="4" t="s">
        <v>143</v>
      </c>
    </row>
    <row r="80" spans="2:31" ht="12.75">
      <c r="B80" s="2" t="s">
        <v>19</v>
      </c>
      <c r="C80" s="1" t="s">
        <v>77</v>
      </c>
      <c r="D80" s="1">
        <v>2008</v>
      </c>
      <c r="E80" s="1">
        <v>42528000000</v>
      </c>
      <c r="F80" s="1" t="s">
        <v>122</v>
      </c>
      <c r="G80" s="1">
        <v>67191723000</v>
      </c>
      <c r="H80" s="1">
        <v>227447000000</v>
      </c>
      <c r="I80" s="1">
        <v>1341679</v>
      </c>
      <c r="J80" s="1">
        <v>94226.05</v>
      </c>
      <c r="K80" s="1">
        <v>2101154</v>
      </c>
      <c r="L80" s="1">
        <v>2148264</v>
      </c>
      <c r="M80" s="1">
        <v>1480137</v>
      </c>
      <c r="N80" s="17">
        <f t="shared" si="3"/>
        <v>0.10587479006304626</v>
      </c>
      <c r="O80" s="1">
        <v>13.9504</v>
      </c>
      <c r="P80" s="1">
        <v>288412.1</v>
      </c>
      <c r="Q80" s="1">
        <v>1568845</v>
      </c>
      <c r="R80" s="8">
        <v>2958</v>
      </c>
      <c r="S80" s="8">
        <v>13709</v>
      </c>
      <c r="T80" s="8">
        <f t="shared" si="1"/>
        <v>16667</v>
      </c>
      <c r="U80" s="8">
        <v>2239</v>
      </c>
      <c r="V80" s="8">
        <v>391</v>
      </c>
      <c r="W80" s="4" t="s">
        <v>144</v>
      </c>
      <c r="X80" s="4" t="s">
        <v>142</v>
      </c>
      <c r="Y80" s="7">
        <f>IF(X80="rub",R80,R80*'Курс доллара'!$F$6)</f>
        <v>79757.4414</v>
      </c>
      <c r="Z80" s="7">
        <f>IF(X80="rub",S80,S80*'Курс доллара'!$F$6)</f>
        <v>369639.8797</v>
      </c>
      <c r="AA80" s="7">
        <f>IF(X80="rub",T80,T80*'Курс доллара'!$F$6)</f>
        <v>449397.3211</v>
      </c>
      <c r="AB80" s="7">
        <f>IF(X80="rub",U80,U80*'Курс доллара'!$C$6)</f>
        <v>65782.71560000001</v>
      </c>
      <c r="AC80" s="7">
        <f>IF(X80="rub",V80,V80*'Курс доллара'!$F$6)</f>
        <v>10542.6503</v>
      </c>
      <c r="AD80" s="7" t="str">
        <f t="shared" si="2"/>
        <v>мсфо</v>
      </c>
      <c r="AE80" s="4" t="s">
        <v>143</v>
      </c>
    </row>
    <row r="81" spans="2:31" ht="12.75">
      <c r="B81" s="2" t="s">
        <v>19</v>
      </c>
      <c r="C81" s="1" t="s">
        <v>77</v>
      </c>
      <c r="D81" s="1">
        <v>2009</v>
      </c>
      <c r="E81" s="1">
        <v>44230000000</v>
      </c>
      <c r="F81" s="1" t="s">
        <v>122</v>
      </c>
      <c r="G81" s="1">
        <v>45147922000</v>
      </c>
      <c r="H81" s="1">
        <v>222249000000</v>
      </c>
      <c r="I81" s="1">
        <v>1540105</v>
      </c>
      <c r="J81" s="1">
        <v>76198.7</v>
      </c>
      <c r="K81" s="1">
        <v>2373336</v>
      </c>
      <c r="L81" s="1">
        <v>2159757</v>
      </c>
      <c r="M81" s="1">
        <v>1681690</v>
      </c>
      <c r="N81" s="17">
        <f t="shared" si="3"/>
        <v>0.10290463232669231</v>
      </c>
      <c r="O81" s="1">
        <v>9.318182</v>
      </c>
      <c r="P81" s="1">
        <v>340086.3</v>
      </c>
      <c r="Q81" s="1">
        <v>1640151</v>
      </c>
      <c r="R81" s="8">
        <v>3937</v>
      </c>
      <c r="S81" s="8">
        <v>9778</v>
      </c>
      <c r="T81" s="8">
        <f t="shared" si="1"/>
        <v>13715</v>
      </c>
      <c r="U81" s="8">
        <v>2274</v>
      </c>
      <c r="V81" s="8">
        <v>667</v>
      </c>
      <c r="W81" s="4" t="s">
        <v>144</v>
      </c>
      <c r="X81" s="4" t="s">
        <v>142</v>
      </c>
      <c r="Y81" s="7">
        <f>IF(X81="rub",R81,R81*'Курс доллара'!$F$7)</f>
        <v>117371.0251</v>
      </c>
      <c r="Z81" s="7">
        <f>IF(X81="rub",S81,S81*'Курс доллара'!$F$7)</f>
        <v>291504.6694</v>
      </c>
      <c r="AA81" s="7">
        <f>IF(X81="rub",T81,T81*'Курс доллара'!$F$7)</f>
        <v>408875.6945</v>
      </c>
      <c r="AB81" s="7">
        <f>IF(X81="rub",U81,U81*'Курс доллара'!$C$7)</f>
        <v>68775.31079999999</v>
      </c>
      <c r="AC81" s="7">
        <f>IF(X81="rub",V81,V81*'Курс доллара'!$F$7)</f>
        <v>19884.8041</v>
      </c>
      <c r="AD81" s="7" t="str">
        <f t="shared" si="2"/>
        <v>мсфо</v>
      </c>
      <c r="AE81" s="4" t="s">
        <v>143</v>
      </c>
    </row>
    <row r="82" spans="2:31" ht="12.75">
      <c r="B82" s="2" t="s">
        <v>19</v>
      </c>
      <c r="C82" s="1" t="s">
        <v>77</v>
      </c>
      <c r="D82" s="1">
        <v>2010</v>
      </c>
      <c r="E82" s="1">
        <f>1428000000*'Курс доллара'!F8</f>
        <v>43354865400</v>
      </c>
      <c r="F82" s="1"/>
      <c r="G82" s="1"/>
      <c r="H82" s="1">
        <f>9119000000*'Курс доллара'!F8</f>
        <v>276857855450</v>
      </c>
      <c r="I82" s="1">
        <f>59212*'Курс доллара'!C8</f>
        <v>1804598.2028</v>
      </c>
      <c r="J82" s="1"/>
      <c r="K82" s="1">
        <f>84017*'Курс доллара'!C8</f>
        <v>2560577.7073</v>
      </c>
      <c r="L82" s="1">
        <f>104956*'Курс доллара'!F8</f>
        <v>3186521.8858</v>
      </c>
      <c r="M82" s="1">
        <f>59197*'Курс доллара'!C8</f>
        <v>1804141.0493</v>
      </c>
      <c r="N82" s="17">
        <f t="shared" si="3"/>
        <v>0.08688402759251496</v>
      </c>
      <c r="O82" s="1"/>
      <c r="P82" s="1">
        <f>(2125+9069)*'Курс доллара'!C8</f>
        <v>341158.41860000003</v>
      </c>
      <c r="Q82" s="1">
        <f>54629*'Курс доллара'!C8</f>
        <v>1664922.5701000001</v>
      </c>
      <c r="R82" s="8">
        <v>4154</v>
      </c>
      <c r="S82" s="8">
        <v>11533</v>
      </c>
      <c r="T82" s="8">
        <f t="shared" si="1"/>
        <v>15687</v>
      </c>
      <c r="U82" s="8">
        <v>2368</v>
      </c>
      <c r="V82" s="8">
        <v>712</v>
      </c>
      <c r="W82" s="4" t="s">
        <v>144</v>
      </c>
      <c r="X82" s="4" t="s">
        <v>142</v>
      </c>
      <c r="Y82" s="7">
        <f>IF(X82="rub",R82,R82*'Курс доллара'!$F$8)</f>
        <v>126117.7247</v>
      </c>
      <c r="Z82" s="7">
        <f>IF(X82="rub",S82,S82*'Курс доллара'!$F$8)</f>
        <v>350148.22315</v>
      </c>
      <c r="AA82" s="7">
        <f>IF(X82="rub",T82,T82*'Курс доллара'!$F$8)</f>
        <v>476265.94785</v>
      </c>
      <c r="AB82" s="7">
        <f>IF(X82="rub",U82,U82*'Курс доллара'!$C$8)</f>
        <v>72169.29920000001</v>
      </c>
      <c r="AC82" s="7">
        <f>IF(X82="rub",V82,V82*'Курс доллара'!$F$8)</f>
        <v>21616.7116</v>
      </c>
      <c r="AD82" s="7" t="str">
        <f>W82</f>
        <v>мсфо</v>
      </c>
      <c r="AE82" s="4" t="s">
        <v>143</v>
      </c>
    </row>
    <row r="83" spans="1:31" ht="12.75">
      <c r="A83">
        <v>21</v>
      </c>
      <c r="B83" s="2" t="s">
        <v>20</v>
      </c>
      <c r="C83" s="1" t="s">
        <v>78</v>
      </c>
      <c r="D83" s="1">
        <v>2007</v>
      </c>
      <c r="E83" s="1" t="s">
        <v>122</v>
      </c>
      <c r="F83" s="1" t="s">
        <v>122</v>
      </c>
      <c r="G83" s="1" t="s">
        <v>122</v>
      </c>
      <c r="H83" s="1">
        <v>2400000000</v>
      </c>
      <c r="I83" s="1">
        <v>6098.548</v>
      </c>
      <c r="J83" s="1">
        <v>-8404.226</v>
      </c>
      <c r="K83" s="1">
        <v>39916.97</v>
      </c>
      <c r="L83" s="1">
        <v>94014.25</v>
      </c>
      <c r="M83" s="1">
        <v>10520.23</v>
      </c>
      <c r="N83" s="17">
        <f t="shared" si="3"/>
        <v>0.025528044950632486</v>
      </c>
      <c r="O83" s="1">
        <v>7.667509</v>
      </c>
      <c r="P83" s="1">
        <v>17066.36</v>
      </c>
      <c r="Q83" s="1">
        <v>26474.85</v>
      </c>
      <c r="R83" s="8">
        <f>53.102+0.564</f>
        <v>53.666</v>
      </c>
      <c r="S83" s="8">
        <f>730.044-29.488-537.353</f>
        <v>163.2030000000001</v>
      </c>
      <c r="T83" s="8">
        <f t="shared" si="1"/>
        <v>216.86900000000009</v>
      </c>
      <c r="U83" s="8">
        <v>120.959</v>
      </c>
      <c r="V83" s="8">
        <v>36.101</v>
      </c>
      <c r="W83" s="4" t="s">
        <v>144</v>
      </c>
      <c r="X83" s="4" t="s">
        <v>142</v>
      </c>
      <c r="Y83" s="7">
        <f>IF(X83="rub",R83,R83*'Курс доллара'!$F$5)</f>
        <v>1365.1905909</v>
      </c>
      <c r="Z83" s="7">
        <f>IF(X83="rub",S83,S83*'Курс доллара'!$F$5)</f>
        <v>4151.663995950002</v>
      </c>
      <c r="AA83" s="7">
        <f>IF(X83="rub",T83,T83*'Курс доллара'!$F$5)</f>
        <v>5516.854586850002</v>
      </c>
      <c r="AB83" s="7">
        <f>IF(X83="rub",U83,U83*'Курс доллара'!$C$5)</f>
        <v>2969.0838058</v>
      </c>
      <c r="AC83" s="7">
        <f>IF(X83="rub",V83,V83*'Курс доллара'!$F$5)</f>
        <v>918.3607036499999</v>
      </c>
      <c r="AD83" s="7" t="str">
        <f t="shared" si="2"/>
        <v>мсфо</v>
      </c>
      <c r="AE83" s="4" t="s">
        <v>143</v>
      </c>
    </row>
    <row r="84" spans="2:31" ht="12.75">
      <c r="B84" s="2" t="s">
        <v>20</v>
      </c>
      <c r="C84" s="1" t="s">
        <v>78</v>
      </c>
      <c r="D84" s="1">
        <v>2008</v>
      </c>
      <c r="E84" s="1">
        <v>121538663</v>
      </c>
      <c r="F84" s="1" t="s">
        <v>122</v>
      </c>
      <c r="G84" s="1">
        <v>121571000</v>
      </c>
      <c r="H84" s="1">
        <v>5121000000</v>
      </c>
      <c r="I84" s="1">
        <v>5607.996</v>
      </c>
      <c r="J84" s="1">
        <v>-3644.137</v>
      </c>
      <c r="K84" s="1">
        <v>54220.38</v>
      </c>
      <c r="L84" s="1">
        <v>133061.2</v>
      </c>
      <c r="M84" s="1">
        <v>24603.91</v>
      </c>
      <c r="N84" s="17">
        <f t="shared" si="3"/>
        <v>0.038486050028107364</v>
      </c>
      <c r="O84" s="1">
        <v>10.83262</v>
      </c>
      <c r="P84" s="1">
        <v>11933.68</v>
      </c>
      <c r="Q84" s="1">
        <v>39137.01</v>
      </c>
      <c r="R84" s="8">
        <f>87.545+1.251</f>
        <v>88.796</v>
      </c>
      <c r="S84" s="8">
        <f>1159.535-44.185-806.103</f>
        <v>309.2470000000002</v>
      </c>
      <c r="T84" s="8">
        <f t="shared" si="1"/>
        <v>398.0430000000002</v>
      </c>
      <c r="U84" s="8">
        <v>115.055</v>
      </c>
      <c r="V84" s="8">
        <v>60.176</v>
      </c>
      <c r="W84" s="4" t="s">
        <v>144</v>
      </c>
      <c r="X84" s="4" t="s">
        <v>142</v>
      </c>
      <c r="Y84" s="7">
        <f>IF(X84="rub",R84,R84*'Курс доллара'!$F$6)</f>
        <v>2394.2331868</v>
      </c>
      <c r="Z84" s="7">
        <f>IF(X84="rub",S84,S84*'Курс доллара'!$F$6)</f>
        <v>8338.319635100004</v>
      </c>
      <c r="AA84" s="7">
        <f>IF(X84="rub",T84,T84*'Курс доллара'!$F$6)</f>
        <v>10732.552821900004</v>
      </c>
      <c r="AB84" s="7">
        <f>IF(X84="rub",U84,U84*'Курс доллара'!$C$6)</f>
        <v>3380.3619220000005</v>
      </c>
      <c r="AC84" s="7">
        <f>IF(X84="rub",V84,V84*'Курс доллара'!$F$6)</f>
        <v>1622.5435408</v>
      </c>
      <c r="AD84" s="7" t="str">
        <f t="shared" si="2"/>
        <v>мсфо</v>
      </c>
      <c r="AE84" s="4" t="s">
        <v>143</v>
      </c>
    </row>
    <row r="85" spans="2:31" ht="12.75">
      <c r="B85" s="2" t="s">
        <v>20</v>
      </c>
      <c r="C85" s="1" t="s">
        <v>78</v>
      </c>
      <c r="D85" s="1">
        <v>2009</v>
      </c>
      <c r="E85" s="1">
        <v>1317000000</v>
      </c>
      <c r="F85" s="1" t="s">
        <v>122</v>
      </c>
      <c r="G85" s="1">
        <v>1415549000</v>
      </c>
      <c r="H85" s="1">
        <v>8717000000</v>
      </c>
      <c r="I85" s="1">
        <v>12524.02</v>
      </c>
      <c r="J85" s="1">
        <v>-1467.015</v>
      </c>
      <c r="K85" s="1">
        <v>75943.73</v>
      </c>
      <c r="L85" s="1">
        <v>170002.1</v>
      </c>
      <c r="M85" s="1">
        <v>42794.95</v>
      </c>
      <c r="N85" s="17">
        <f t="shared" si="3"/>
        <v>0.051275837180834824</v>
      </c>
      <c r="O85" s="1">
        <v>12.58548</v>
      </c>
      <c r="P85" s="1">
        <v>12580.49</v>
      </c>
      <c r="Q85" s="1">
        <v>49211.14</v>
      </c>
      <c r="R85" s="8">
        <f>101.443+1.64</f>
        <v>103.083</v>
      </c>
      <c r="S85" s="8">
        <f>1257.273-45.506-817.859</f>
        <v>393.9079999999998</v>
      </c>
      <c r="T85" s="8">
        <f t="shared" si="1"/>
        <v>496.99099999999976</v>
      </c>
      <c r="U85" s="8">
        <v>371.045</v>
      </c>
      <c r="V85" s="8">
        <v>53.539</v>
      </c>
      <c r="W85" s="4" t="s">
        <v>144</v>
      </c>
      <c r="X85" s="4" t="s">
        <v>142</v>
      </c>
      <c r="Y85" s="7">
        <f>IF(X85="rub",R85,R85*'Курс доллара'!$F$7)</f>
        <v>3073.1413209</v>
      </c>
      <c r="Z85" s="7">
        <f>IF(X85="rub",S85,S85*'Курс доллара'!$F$7)</f>
        <v>11743.303468399994</v>
      </c>
      <c r="AA85" s="7">
        <f>IF(X85="rub",T85,T85*'Курс доллара'!$F$7)</f>
        <v>14816.444789299992</v>
      </c>
      <c r="AB85" s="7">
        <f>IF(X85="rub",U85,U85*'Курс доллара'!$C$7)</f>
        <v>11221.959189000001</v>
      </c>
      <c r="AC85" s="7">
        <f>IF(X85="rub",V85,V85*'Курс доллара'!$F$7)</f>
        <v>1596.1207297</v>
      </c>
      <c r="AD85" s="7" t="str">
        <f t="shared" si="2"/>
        <v>мсфо</v>
      </c>
      <c r="AE85" s="4" t="s">
        <v>143</v>
      </c>
    </row>
    <row r="86" spans="2:31" ht="12.75">
      <c r="B86" s="2" t="s">
        <v>20</v>
      </c>
      <c r="C86" s="1" t="s">
        <v>78</v>
      </c>
      <c r="D86" s="1">
        <v>2010</v>
      </c>
      <c r="E86" s="1">
        <f>28860000*'Курс доллара'!F8</f>
        <v>876205473</v>
      </c>
      <c r="F86" s="1"/>
      <c r="G86" s="1"/>
      <c r="H86" s="1">
        <f>333696000*'Курс доллара'!F8</f>
        <v>10131194092.8</v>
      </c>
      <c r="I86" s="1">
        <f>901.176*'Курс доллара'!C8</f>
        <v>27465.0508344</v>
      </c>
      <c r="J86" s="1"/>
      <c r="K86" s="1">
        <f>3688.984*'Курс доллара'!C8</f>
        <v>112428.7964696</v>
      </c>
      <c r="L86" s="1">
        <f>7777.404*'Курс доллара'!F8</f>
        <v>236126.2630122</v>
      </c>
      <c r="M86" s="1">
        <f>1722.658*'Курс доллара'!C8</f>
        <v>52501.275600199995</v>
      </c>
      <c r="N86" s="17">
        <f t="shared" si="3"/>
        <v>0.04290583336033463</v>
      </c>
      <c r="O86" s="1"/>
      <c r="P86" s="1">
        <f>(803.652+6.615+19.751+177.09)*'Курс доллара'!C8</f>
        <v>30693.529805200003</v>
      </c>
      <c r="Q86" s="1">
        <f>(2651.136+54.7)*'Курс доллара'!C8</f>
        <v>82465.4931884</v>
      </c>
      <c r="R86" s="8">
        <f>147.835+2.524</f>
        <v>150.359</v>
      </c>
      <c r="S86" s="8">
        <f>1740.526-77.843-1199.64+21.463-4.975</f>
        <v>479.5309999999999</v>
      </c>
      <c r="T86" s="8">
        <f t="shared" si="1"/>
        <v>629.8899999999999</v>
      </c>
      <c r="U86" s="8">
        <v>132.636</v>
      </c>
      <c r="V86" s="8">
        <v>35.107</v>
      </c>
      <c r="W86" s="4" t="s">
        <v>144</v>
      </c>
      <c r="X86" s="4" t="s">
        <v>142</v>
      </c>
      <c r="Y86" s="7">
        <f>IF(X86="rub",R86,R86*'Курс доллара'!$F$8)</f>
        <v>4564.98193745</v>
      </c>
      <c r="Z86" s="7">
        <f>IF(X86="rub",S86,S86*'Курс доллара'!$F$8)</f>
        <v>14558.824902049997</v>
      </c>
      <c r="AA86" s="7">
        <f>IF(X86="rub",T86,T86*'Курс доллара'!$F$8)</f>
        <v>19123.806839499997</v>
      </c>
      <c r="AB86" s="7">
        <f>IF(X86="rub",U86,U86*'Курс доллара'!$C$8)</f>
        <v>4042.3341084</v>
      </c>
      <c r="AC86" s="7">
        <f>IF(X86="rub",V86,V86*'Курс доллара'!$F$8)</f>
        <v>1065.86782885</v>
      </c>
      <c r="AD86" s="7" t="str">
        <f>W86</f>
        <v>мсфо</v>
      </c>
      <c r="AE86" s="4" t="s">
        <v>143</v>
      </c>
    </row>
    <row r="87" spans="1:31" ht="12.75">
      <c r="A87">
        <v>22</v>
      </c>
      <c r="B87" s="2" t="s">
        <v>21</v>
      </c>
      <c r="C87" s="1" t="s">
        <v>79</v>
      </c>
      <c r="D87" s="1">
        <v>2007</v>
      </c>
      <c r="E87" s="1">
        <v>375197240</v>
      </c>
      <c r="F87" s="1">
        <v>750075633</v>
      </c>
      <c r="G87" s="1">
        <v>7501060819</v>
      </c>
      <c r="H87" s="1">
        <v>4375605612</v>
      </c>
      <c r="I87" s="1">
        <v>25558.87</v>
      </c>
      <c r="J87" s="1">
        <v>5087.863</v>
      </c>
      <c r="K87" s="1">
        <v>60597.6</v>
      </c>
      <c r="L87" s="1">
        <v>28447.67</v>
      </c>
      <c r="M87" s="1">
        <v>40102.75</v>
      </c>
      <c r="N87" s="17">
        <f t="shared" si="3"/>
        <v>0.1538124427062041</v>
      </c>
      <c r="O87" s="1">
        <v>7.983136</v>
      </c>
      <c r="P87" s="1">
        <v>5612.479</v>
      </c>
      <c r="Q87" s="1">
        <v>49329.47</v>
      </c>
      <c r="R87" s="8">
        <f>108.2+12</f>
        <v>120.2</v>
      </c>
      <c r="S87" s="8">
        <v>431.063</v>
      </c>
      <c r="T87" s="8">
        <f t="shared" si="1"/>
        <v>551.263</v>
      </c>
      <c r="U87" s="8">
        <v>93.624</v>
      </c>
      <c r="V87" s="8">
        <v>25.654</v>
      </c>
      <c r="W87" s="4" t="s">
        <v>144</v>
      </c>
      <c r="X87" s="4" t="s">
        <v>142</v>
      </c>
      <c r="Y87" s="7">
        <f>IF(X87="rub",R87,R87*'Курс доллара'!$F$5)</f>
        <v>3057.72573</v>
      </c>
      <c r="Z87" s="7">
        <f>IF(X87="rub",S87,S87*'Курс доллара'!$F$5)</f>
        <v>10965.66078495</v>
      </c>
      <c r="AA87" s="7">
        <f>IF(X87="rub",T87,T87*'Курс доллара'!$F$5)</f>
        <v>14023.38651495</v>
      </c>
      <c r="AB87" s="7">
        <f>IF(X87="rub",U87,U87*'Курс доллара'!$C$5)</f>
        <v>2298.1134288</v>
      </c>
      <c r="AC87" s="7">
        <f>IF(X87="rub",V87,V87*'Курс доллара'!$F$5)</f>
        <v>652.6031270999999</v>
      </c>
      <c r="AD87" s="7" t="str">
        <f t="shared" si="2"/>
        <v>мсфо</v>
      </c>
      <c r="AE87" s="4" t="s">
        <v>143</v>
      </c>
    </row>
    <row r="88" spans="2:31" ht="12.75">
      <c r="B88" s="2" t="s">
        <v>21</v>
      </c>
      <c r="C88" s="1" t="s">
        <v>79</v>
      </c>
      <c r="D88" s="1">
        <v>2008</v>
      </c>
      <c r="E88" s="1" t="s">
        <v>122</v>
      </c>
      <c r="F88" s="1">
        <v>321871536</v>
      </c>
      <c r="G88" s="1">
        <v>3217468437</v>
      </c>
      <c r="H88" s="1">
        <v>7325238849.6</v>
      </c>
      <c r="I88" s="1">
        <v>18043.41</v>
      </c>
      <c r="J88" s="1">
        <v>5391.088</v>
      </c>
      <c r="K88" s="1">
        <v>62993.09</v>
      </c>
      <c r="L88" s="1">
        <v>28350.47</v>
      </c>
      <c r="M88" s="1">
        <v>35389.89</v>
      </c>
      <c r="N88" s="17">
        <f t="shared" si="3"/>
        <v>0.25838156649960303</v>
      </c>
      <c r="O88" s="1">
        <v>10.83604</v>
      </c>
      <c r="P88" s="1">
        <v>13039.35</v>
      </c>
      <c r="Q88" s="1">
        <v>54864.68</v>
      </c>
      <c r="R88" s="8">
        <v>128.073</v>
      </c>
      <c r="S88" s="8">
        <v>389.007</v>
      </c>
      <c r="T88" s="8">
        <f t="shared" si="1"/>
        <v>517.08</v>
      </c>
      <c r="U88" s="8">
        <v>8.559</v>
      </c>
      <c r="V88" s="8">
        <v>4.773</v>
      </c>
      <c r="W88" s="4" t="s">
        <v>144</v>
      </c>
      <c r="X88" s="4" t="s">
        <v>142</v>
      </c>
      <c r="Y88" s="7">
        <f>IF(X88="rub",R88,R88*'Курс доллара'!$F$6)</f>
        <v>3453.2707209</v>
      </c>
      <c r="Z88" s="7">
        <f>IF(X88="rub",S88,S88*'Курс доллара'!$F$6)</f>
        <v>10488.9124431</v>
      </c>
      <c r="AA88" s="7">
        <f>IF(X88="rub",T88,T88*'Курс доллара'!$F$6)</f>
        <v>13942.183164000002</v>
      </c>
      <c r="AB88" s="7">
        <f>IF(X88="rub",U88,U88*'Курс доллара'!$C$6)</f>
        <v>251.4668436</v>
      </c>
      <c r="AC88" s="7">
        <f>IF(X88="rub",V88,V88*'Курс доллара'!$F$6)</f>
        <v>128.6958309</v>
      </c>
      <c r="AD88" s="7" t="str">
        <f t="shared" si="2"/>
        <v>мсфо</v>
      </c>
      <c r="AE88" s="4" t="s">
        <v>143</v>
      </c>
    </row>
    <row r="89" spans="2:31" ht="12.75">
      <c r="B89" s="2" t="s">
        <v>21</v>
      </c>
      <c r="C89" s="1" t="s">
        <v>79</v>
      </c>
      <c r="D89" s="1">
        <v>2009</v>
      </c>
      <c r="E89" s="1" t="s">
        <v>122</v>
      </c>
      <c r="F89" s="1">
        <v>789351624</v>
      </c>
      <c r="G89" s="1">
        <v>7892233381</v>
      </c>
      <c r="H89" s="1">
        <v>3144731427.6</v>
      </c>
      <c r="I89" s="1">
        <v>31390.6</v>
      </c>
      <c r="J89" s="1">
        <v>8291.498</v>
      </c>
      <c r="K89" s="1">
        <v>73139.28</v>
      </c>
      <c r="L89" s="1">
        <v>29548.27</v>
      </c>
      <c r="M89" s="1">
        <v>46078.26</v>
      </c>
      <c r="N89" s="17">
        <f t="shared" si="3"/>
        <v>0.10642692203638317</v>
      </c>
      <c r="O89" s="1">
        <v>4.075452</v>
      </c>
      <c r="P89" s="1">
        <v>13002.3</v>
      </c>
      <c r="Q89" s="1">
        <v>52221.86</v>
      </c>
      <c r="R89" s="8">
        <v>122.764</v>
      </c>
      <c r="S89" s="8">
        <v>313.096</v>
      </c>
      <c r="T89" s="8">
        <f aca="true" t="shared" si="4" ref="T89:T174">R89+S89</f>
        <v>435.86</v>
      </c>
      <c r="U89" s="8">
        <v>117.686</v>
      </c>
      <c r="V89" s="8">
        <v>31.255</v>
      </c>
      <c r="W89" s="4" t="s">
        <v>144</v>
      </c>
      <c r="X89" s="4" t="s">
        <v>142</v>
      </c>
      <c r="Y89" s="7">
        <f>IF(X89="rub",R89,R89*'Курс доллара'!$F$7)</f>
        <v>3659.8771972</v>
      </c>
      <c r="Z89" s="7">
        <f>IF(X89="rub",S89,S89*'Курс доллара'!$F$7)</f>
        <v>9334.111880800001</v>
      </c>
      <c r="AA89" s="7">
        <f>IF(X89="rub",T89,T89*'Курс доллара'!$F$7)</f>
        <v>12993.989078</v>
      </c>
      <c r="AB89" s="7">
        <f>IF(X89="rub",U89,U89*'Курс доллара'!$C$7)</f>
        <v>3559.3189212</v>
      </c>
      <c r="AC89" s="7">
        <f>IF(X89="rub",V89,V89*'Курс доллара'!$F$7)</f>
        <v>931.7834365</v>
      </c>
      <c r="AD89" s="7" t="str">
        <f aca="true" t="shared" si="5" ref="AD89:AD173">W89</f>
        <v>мсфо</v>
      </c>
      <c r="AE89" s="4" t="s">
        <v>143</v>
      </c>
    </row>
    <row r="90" spans="2:31" ht="12.75">
      <c r="B90" s="2" t="s">
        <v>21</v>
      </c>
      <c r="C90" s="1" t="s">
        <v>79</v>
      </c>
      <c r="D90" s="1">
        <v>2010</v>
      </c>
      <c r="E90" s="1">
        <v>1111223000</v>
      </c>
      <c r="F90" s="1"/>
      <c r="G90" s="1">
        <v>1360473000</v>
      </c>
      <c r="H90" s="1" t="s">
        <v>140</v>
      </c>
      <c r="I90" s="1">
        <f>30241.149+1360.473</f>
        <v>31601.622000000003</v>
      </c>
      <c r="J90" s="1"/>
      <c r="K90" s="1">
        <v>72263.836</v>
      </c>
      <c r="L90" s="1">
        <v>30576.08</v>
      </c>
      <c r="M90" s="1">
        <v>65940.046</v>
      </c>
      <c r="N90" s="17">
        <f>G90/L90/1000000</f>
        <v>0.04449468342573672</v>
      </c>
      <c r="O90" s="1"/>
      <c r="P90" s="1">
        <f>70.896+31.101</f>
        <v>101.997</v>
      </c>
      <c r="Q90" s="1">
        <f>34954.99+1362.58</f>
        <v>36317.57</v>
      </c>
      <c r="R90" s="8">
        <v>5906.634</v>
      </c>
      <c r="S90" s="8">
        <v>9479.328</v>
      </c>
      <c r="T90" s="8">
        <f t="shared" si="4"/>
        <v>15385.962</v>
      </c>
      <c r="U90" s="8">
        <v>960.625</v>
      </c>
      <c r="V90" s="8">
        <v>6.951</v>
      </c>
      <c r="W90" s="4" t="s">
        <v>139</v>
      </c>
      <c r="X90" s="4" t="s">
        <v>143</v>
      </c>
      <c r="Y90" s="7">
        <f>IF(X90="rub",R90,R90*'Курс доллара'!$F$8)</f>
        <v>5906.634</v>
      </c>
      <c r="Z90" s="7">
        <f>IF(X90="rub",S90,S90*'Курс доллара'!$F$8)</f>
        <v>9479.328</v>
      </c>
      <c r="AA90" s="7">
        <f>IF(X90="rub",T90,T90*'Курс доллара'!$F$8)</f>
        <v>15385.962</v>
      </c>
      <c r="AB90" s="7">
        <f>IF(X90="rub",U90,U90*'Курс доллара'!$C$8)</f>
        <v>960.625</v>
      </c>
      <c r="AC90" s="7">
        <f>IF(X90="rub",V90,V90*'Курс доллара'!$F$8)</f>
        <v>6.951</v>
      </c>
      <c r="AD90" s="7" t="str">
        <f t="shared" si="5"/>
        <v>рсбу</v>
      </c>
      <c r="AE90" s="4" t="s">
        <v>143</v>
      </c>
    </row>
    <row r="91" spans="1:31" ht="12.75">
      <c r="A91">
        <v>23</v>
      </c>
      <c r="B91" s="2" t="s">
        <v>22</v>
      </c>
      <c r="C91" s="1" t="s">
        <v>80</v>
      </c>
      <c r="D91" s="1">
        <v>2007</v>
      </c>
      <c r="E91" s="1" t="s">
        <v>122</v>
      </c>
      <c r="F91" s="1" t="s">
        <v>122</v>
      </c>
      <c r="G91" s="1" t="s">
        <v>122</v>
      </c>
      <c r="H91" s="1" t="s">
        <v>122</v>
      </c>
      <c r="I91" s="1">
        <v>72844.02</v>
      </c>
      <c r="J91" s="1">
        <v>1916.438</v>
      </c>
      <c r="K91" s="1">
        <v>227367.3</v>
      </c>
      <c r="L91" s="1">
        <v>170914.3</v>
      </c>
      <c r="M91" s="1">
        <v>86360.85</v>
      </c>
      <c r="N91" s="17"/>
      <c r="O91" s="1">
        <v>13.35192</v>
      </c>
      <c r="P91" s="1">
        <v>87276.91</v>
      </c>
      <c r="Q91" s="1">
        <v>92654.45</v>
      </c>
      <c r="R91" s="7">
        <v>290.315</v>
      </c>
      <c r="S91" s="7">
        <v>1397.593</v>
      </c>
      <c r="T91" s="7">
        <f t="shared" si="4"/>
        <v>1687.9080000000001</v>
      </c>
      <c r="U91" s="7">
        <v>236.779</v>
      </c>
      <c r="V91" s="7">
        <v>98.976</v>
      </c>
      <c r="W91" s="4" t="s">
        <v>144</v>
      </c>
      <c r="X91" s="4" t="s">
        <v>142</v>
      </c>
      <c r="Y91" s="7">
        <f>IF(X91="rub",R91,R91*'Курс доллара'!$F$5)</f>
        <v>7385.22167475</v>
      </c>
      <c r="Z91" s="7">
        <f>IF(X91="rub",S91,S91*'Курс доллара'!$F$5)</f>
        <v>35552.87916945</v>
      </c>
      <c r="AA91" s="7">
        <f>IF(X91="rub",T91,T91*'Курс доллара'!$F$5)</f>
        <v>42938.1008442</v>
      </c>
      <c r="AB91" s="7">
        <f>IF(X91="rub",U91,U91*'Курс доллара'!$C$5)</f>
        <v>5812.0246898</v>
      </c>
      <c r="AC91" s="7">
        <f>IF(X91="rub",V91,V91*'Курс доллара'!$F$5)</f>
        <v>2517.8158224</v>
      </c>
      <c r="AD91" s="7" t="str">
        <f t="shared" si="5"/>
        <v>мсфо</v>
      </c>
      <c r="AE91" s="4" t="s">
        <v>143</v>
      </c>
    </row>
    <row r="92" spans="2:31" ht="12.75">
      <c r="B92" s="2" t="s">
        <v>22</v>
      </c>
      <c r="C92" s="1" t="s">
        <v>80</v>
      </c>
      <c r="D92" s="1">
        <v>2008</v>
      </c>
      <c r="E92" s="1">
        <v>2302000000</v>
      </c>
      <c r="F92" s="1" t="s">
        <v>122</v>
      </c>
      <c r="G92" s="1">
        <v>48085546000</v>
      </c>
      <c r="H92" s="1">
        <v>28370000000</v>
      </c>
      <c r="I92" s="1">
        <v>102387.5</v>
      </c>
      <c r="J92" s="1">
        <v>26447.84</v>
      </c>
      <c r="K92" s="1">
        <v>353116.9</v>
      </c>
      <c r="L92" s="1">
        <v>247588</v>
      </c>
      <c r="M92" s="1">
        <v>118517.2</v>
      </c>
      <c r="N92" s="17">
        <f t="shared" si="3"/>
        <v>0.11458552110764658</v>
      </c>
      <c r="O92" s="1">
        <v>10.74096</v>
      </c>
      <c r="P92" s="1">
        <v>159900.8</v>
      </c>
      <c r="Q92" s="1">
        <v>139681.3</v>
      </c>
      <c r="R92" s="7">
        <v>463.297</v>
      </c>
      <c r="S92" s="7">
        <v>2556.269</v>
      </c>
      <c r="T92" s="7">
        <f t="shared" si="4"/>
        <v>3019.566</v>
      </c>
      <c r="U92" s="7">
        <v>254.839</v>
      </c>
      <c r="V92" s="7">
        <v>324.083</v>
      </c>
      <c r="W92" s="4" t="s">
        <v>144</v>
      </c>
      <c r="X92" s="4" t="s">
        <v>142</v>
      </c>
      <c r="Y92" s="7">
        <f>IF(X92="rub",R92,R92*'Курс доллара'!$F$6)</f>
        <v>12492.0160001</v>
      </c>
      <c r="Z92" s="7">
        <f>IF(X92="rub",S92,S92*'Курс доллара'!$F$6)</f>
        <v>68925.44792769999</v>
      </c>
      <c r="AA92" s="7">
        <f>IF(X92="rub",T92,T92*'Курс доллара'!$F$6)</f>
        <v>81417.4639278</v>
      </c>
      <c r="AB92" s="7">
        <f>IF(X92="rub",U92,U92*'Курс доллара'!$C$6)</f>
        <v>7487.271755600001</v>
      </c>
      <c r="AC92" s="7">
        <f>IF(X92="rub",V92,V92*'Курс доллара'!$F$6)</f>
        <v>8738.3471539</v>
      </c>
      <c r="AD92" s="7" t="str">
        <f t="shared" si="5"/>
        <v>мсфо</v>
      </c>
      <c r="AE92" s="4" t="s">
        <v>143</v>
      </c>
    </row>
    <row r="93" spans="2:31" ht="12.75">
      <c r="B93" s="2" t="s">
        <v>22</v>
      </c>
      <c r="C93" s="1" t="s">
        <v>80</v>
      </c>
      <c r="D93" s="1">
        <v>2009</v>
      </c>
      <c r="E93" s="1">
        <v>454000000</v>
      </c>
      <c r="F93" s="1" t="s">
        <v>122</v>
      </c>
      <c r="G93" s="1">
        <v>8517203000</v>
      </c>
      <c r="H93" s="1">
        <v>2343000000</v>
      </c>
      <c r="I93" s="1">
        <v>90602.77</v>
      </c>
      <c r="J93" s="1">
        <v>-1548.611</v>
      </c>
      <c r="K93" s="1">
        <v>395960.8</v>
      </c>
      <c r="L93" s="1">
        <v>182691</v>
      </c>
      <c r="M93" s="1">
        <v>120873.1</v>
      </c>
      <c r="N93" s="17">
        <f t="shared" si="3"/>
        <v>0.012824933904790056</v>
      </c>
      <c r="O93" s="1">
        <v>-0.4823335</v>
      </c>
      <c r="P93" s="1">
        <v>182978.2</v>
      </c>
      <c r="Q93" s="1">
        <v>134679</v>
      </c>
      <c r="R93" s="7">
        <v>406.675</v>
      </c>
      <c r="S93" s="7">
        <v>245.644</v>
      </c>
      <c r="T93" s="7">
        <f t="shared" si="4"/>
        <v>652.319</v>
      </c>
      <c r="U93" s="7">
        <v>414.696</v>
      </c>
      <c r="V93" s="7">
        <v>498.986</v>
      </c>
      <c r="W93" s="4" t="s">
        <v>144</v>
      </c>
      <c r="X93" s="4" t="s">
        <v>142</v>
      </c>
      <c r="Y93" s="7">
        <f>IF(X93="rub",R93,R93*'Курс доллара'!$F$7)</f>
        <v>12123.917102500001</v>
      </c>
      <c r="Z93" s="7">
        <f>IF(X93="rub",S93,S93*'Курс доллара'!$F$7)</f>
        <v>7323.2126212</v>
      </c>
      <c r="AA93" s="7">
        <f>IF(X93="rub",T93,T93*'Курс доллара'!$F$7)</f>
        <v>19447.1297237</v>
      </c>
      <c r="AB93" s="7">
        <f>IF(X93="rub",U93,U93*'Курс доллара'!$C$7)</f>
        <v>12542.1487632</v>
      </c>
      <c r="AC93" s="7">
        <f>IF(X93="rub",V93,V93*'Курс доллара'!$F$7)</f>
        <v>14875.9203278</v>
      </c>
      <c r="AD93" s="7" t="str">
        <f t="shared" si="5"/>
        <v>мсфо</v>
      </c>
      <c r="AE93" s="4" t="s">
        <v>143</v>
      </c>
    </row>
    <row r="94" spans="2:31" ht="12.75">
      <c r="B94" s="2" t="s">
        <v>22</v>
      </c>
      <c r="C94" s="1" t="s">
        <v>80</v>
      </c>
      <c r="D94" s="1">
        <v>2010</v>
      </c>
      <c r="E94" s="1">
        <f>23325000*'Курс доллара'!F8</f>
        <v>708159828.75</v>
      </c>
      <c r="F94" s="1"/>
      <c r="G94" s="1"/>
      <c r="H94" s="1">
        <f>691974000*'Курс доллара'!F8</f>
        <v>21008711225.7</v>
      </c>
      <c r="I94" s="1">
        <f>3822.861*'Курс доллара'!C8</f>
        <v>116508.9524109</v>
      </c>
      <c r="J94" s="1"/>
      <c r="K94" s="1">
        <f>15776.028*'Курс доллара'!C8</f>
        <v>480804.4277532</v>
      </c>
      <c r="L94" s="1">
        <f>9746.036*'Курс доллара'!F8</f>
        <v>295895.0132798</v>
      </c>
      <c r="M94" s="1">
        <f>4642.825*'Курс доллара'!C8</f>
        <v>141498.91324249998</v>
      </c>
      <c r="N94" s="17">
        <f t="shared" si="3"/>
        <v>0.0710005585860754</v>
      </c>
      <c r="O94" s="1"/>
      <c r="P94" s="1">
        <f>(2077.809+49.665+5240.62+130.367)*'Курс доллара'!C8</f>
        <v>228529.8460509</v>
      </c>
      <c r="Q94" s="1">
        <f>5413.086*'Курс доллара'!C8</f>
        <v>164974.0807134</v>
      </c>
      <c r="R94" s="7">
        <f>329.959+144.621</f>
        <v>474.58000000000004</v>
      </c>
      <c r="S94" s="7">
        <v>1532.207</v>
      </c>
      <c r="T94" s="7">
        <f t="shared" si="4"/>
        <v>2006.7870000000003</v>
      </c>
      <c r="U94" s="7">
        <v>340.8</v>
      </c>
      <c r="V94" s="7">
        <v>558.397</v>
      </c>
      <c r="W94" s="4" t="s">
        <v>144</v>
      </c>
      <c r="X94" s="4" t="s">
        <v>142</v>
      </c>
      <c r="Y94" s="7">
        <f>IF(X94="rub",R94,R94*'Курс доллара'!$F$8)</f>
        <v>14408.509819</v>
      </c>
      <c r="Z94" s="7">
        <f>IF(X94="rub",S94,S94*'Курс доллара'!$F$8)</f>
        <v>46518.64723385</v>
      </c>
      <c r="AA94" s="7">
        <f>IF(X94="rub",T94,T94*'Курс доллара'!$F$8)</f>
        <v>60927.15705285001</v>
      </c>
      <c r="AB94" s="7">
        <f>IF(X94="rub",U94,U94*'Курс доллара'!$C$8)</f>
        <v>10386.52752</v>
      </c>
      <c r="AC94" s="7">
        <f>IF(X94="rub",V94,V94*'Курс доллара'!$F$8)</f>
        <v>16953.240038350003</v>
      </c>
      <c r="AD94" s="7" t="str">
        <f>W94</f>
        <v>мсфо</v>
      </c>
      <c r="AE94" s="4" t="s">
        <v>143</v>
      </c>
    </row>
    <row r="95" spans="1:31" ht="12.75">
      <c r="A95">
        <v>24</v>
      </c>
      <c r="B95" s="2" t="s">
        <v>23</v>
      </c>
      <c r="C95" s="1" t="s">
        <v>81</v>
      </c>
      <c r="D95" s="1">
        <v>2007</v>
      </c>
      <c r="E95" s="1">
        <v>10280000000</v>
      </c>
      <c r="F95" s="1" t="s">
        <v>122</v>
      </c>
      <c r="G95" s="1">
        <v>51723000000</v>
      </c>
      <c r="H95" s="1">
        <v>32057337199.999996</v>
      </c>
      <c r="I95" s="1">
        <v>249921.5</v>
      </c>
      <c r="J95" s="1">
        <v>-2147.986</v>
      </c>
      <c r="K95" s="1">
        <v>391452.5</v>
      </c>
      <c r="L95" s="1">
        <v>209607.6</v>
      </c>
      <c r="M95" s="1">
        <v>286659.4</v>
      </c>
      <c r="N95" s="17">
        <f t="shared" si="3"/>
        <v>0.15293976554285243</v>
      </c>
      <c r="O95" s="1">
        <v>12.12458</v>
      </c>
      <c r="P95" s="1">
        <v>35875.55</v>
      </c>
      <c r="Q95" s="1">
        <v>256475.7</v>
      </c>
      <c r="R95" s="7">
        <v>857</v>
      </c>
      <c r="S95" s="7">
        <v>1453</v>
      </c>
      <c r="T95" s="7">
        <f t="shared" si="4"/>
        <v>2310</v>
      </c>
      <c r="U95" s="7">
        <v>256</v>
      </c>
      <c r="V95" s="7">
        <v>87</v>
      </c>
      <c r="W95" s="4" t="s">
        <v>144</v>
      </c>
      <c r="X95" s="4" t="s">
        <v>142</v>
      </c>
      <c r="Y95" s="7">
        <f>IF(X95="rub",R95,R95*'Курс доллара'!$F$5)</f>
        <v>21800.923049999998</v>
      </c>
      <c r="Z95" s="7">
        <f>IF(X95="rub",S95,S95*'Курс доллара'!$F$5)</f>
        <v>36962.35845</v>
      </c>
      <c r="AA95" s="7">
        <f>IF(X95="rub",T95,T95*'Курс доллара'!$F$5)</f>
        <v>58763.2815</v>
      </c>
      <c r="AB95" s="7">
        <f>IF(X95="rub",U95,U95*'Курс доллара'!$C$5)</f>
        <v>6283.8272</v>
      </c>
      <c r="AC95" s="7">
        <f>IF(X95="rub",V95,V95*'Курс доллара'!$F$5)</f>
        <v>2213.16255</v>
      </c>
      <c r="AD95" s="7" t="str">
        <f t="shared" si="5"/>
        <v>мсфо</v>
      </c>
      <c r="AE95" s="4" t="s">
        <v>143</v>
      </c>
    </row>
    <row r="96" spans="2:31" ht="12.75">
      <c r="B96" s="2" t="s">
        <v>23</v>
      </c>
      <c r="C96" s="1" t="s">
        <v>81</v>
      </c>
      <c r="D96" s="1">
        <v>2008</v>
      </c>
      <c r="E96" s="1">
        <v>4269000000</v>
      </c>
      <c r="F96" s="1" t="s">
        <v>122</v>
      </c>
      <c r="G96" s="1">
        <v>10064000000</v>
      </c>
      <c r="H96" s="1">
        <v>31760212400</v>
      </c>
      <c r="I96" s="1">
        <v>240309.1</v>
      </c>
      <c r="J96" s="1">
        <v>597.1548</v>
      </c>
      <c r="K96" s="1">
        <v>417431.6</v>
      </c>
      <c r="L96" s="1">
        <v>262499.3</v>
      </c>
      <c r="M96" s="1">
        <v>284119.3</v>
      </c>
      <c r="N96" s="17">
        <f t="shared" si="3"/>
        <v>0.12099160797762128</v>
      </c>
      <c r="O96" s="1">
        <v>7.146656</v>
      </c>
      <c r="P96" s="1">
        <v>50749.23</v>
      </c>
      <c r="Q96" s="1">
        <v>286706.7</v>
      </c>
      <c r="R96" s="7">
        <v>945</v>
      </c>
      <c r="S96" s="7">
        <v>1174</v>
      </c>
      <c r="T96" s="7">
        <f t="shared" si="4"/>
        <v>2119</v>
      </c>
      <c r="U96" s="7">
        <v>1106</v>
      </c>
      <c r="V96" s="7">
        <v>110</v>
      </c>
      <c r="W96" s="4" t="s">
        <v>144</v>
      </c>
      <c r="X96" s="4" t="s">
        <v>142</v>
      </c>
      <c r="Y96" s="7">
        <f>IF(X96="rub",R96,R96*'Курс доллара'!$F$6)</f>
        <v>25480.3185</v>
      </c>
      <c r="Z96" s="7">
        <f>IF(X96="rub",S96,S96*'Курс доллара'!$F$6)</f>
        <v>31654.9142</v>
      </c>
      <c r="AA96" s="7">
        <f>IF(X96="rub",T96,T96*'Курс доллара'!$F$6)</f>
        <v>57135.2327</v>
      </c>
      <c r="AB96" s="7">
        <f>IF(X96="rub",U96,U96*'Курс доллара'!$C$6)</f>
        <v>32494.722400000002</v>
      </c>
      <c r="AC96" s="7">
        <f>IF(X96="rub",V96,V96*'Курс доллара'!$F$6)</f>
        <v>2965.963</v>
      </c>
      <c r="AD96" s="7" t="str">
        <f t="shared" si="5"/>
        <v>мсфо</v>
      </c>
      <c r="AE96" s="4" t="s">
        <v>143</v>
      </c>
    </row>
    <row r="97" spans="2:31" ht="12.75">
      <c r="B97" s="2" t="s">
        <v>23</v>
      </c>
      <c r="C97" s="1" t="s">
        <v>81</v>
      </c>
      <c r="D97" s="1">
        <v>2009</v>
      </c>
      <c r="E97" s="1">
        <v>4135000000</v>
      </c>
      <c r="F97" s="1" t="s">
        <v>122</v>
      </c>
      <c r="G97" s="1">
        <v>27406000000</v>
      </c>
      <c r="H97" s="1">
        <v>6623479800</v>
      </c>
      <c r="I97" s="1">
        <v>254336.4</v>
      </c>
      <c r="J97" s="1">
        <v>-22891.36</v>
      </c>
      <c r="K97" s="1">
        <v>445509.2</v>
      </c>
      <c r="L97" s="1">
        <v>161319</v>
      </c>
      <c r="M97" s="1">
        <v>299058.5</v>
      </c>
      <c r="N97" s="17">
        <f t="shared" si="3"/>
        <v>0.04105827459877634</v>
      </c>
      <c r="O97" s="1">
        <v>1.598347</v>
      </c>
      <c r="P97" s="1">
        <v>63614.13</v>
      </c>
      <c r="Q97" s="1">
        <v>338674.7</v>
      </c>
      <c r="R97" s="7">
        <v>735</v>
      </c>
      <c r="S97" s="7">
        <v>288</v>
      </c>
      <c r="T97" s="7">
        <f t="shared" si="4"/>
        <v>1023</v>
      </c>
      <c r="U97" s="7">
        <v>165</v>
      </c>
      <c r="V97" s="7">
        <v>96</v>
      </c>
      <c r="W97" s="4" t="s">
        <v>144</v>
      </c>
      <c r="X97" s="4" t="s">
        <v>142</v>
      </c>
      <c r="Y97" s="7">
        <f>IF(X97="rub",R97,R97*'Курс доллара'!$F$7)</f>
        <v>21912.0405</v>
      </c>
      <c r="Z97" s="7">
        <f>IF(X97="rub",S97,S97*'Курс доллара'!$F$7)</f>
        <v>8585.9424</v>
      </c>
      <c r="AA97" s="7">
        <f>IF(X97="rub",T97,T97*'Курс доллара'!$F$7)</f>
        <v>30497.9829</v>
      </c>
      <c r="AB97" s="7">
        <f>IF(X97="rub",U97,U97*'Курс доллара'!$C$7)</f>
        <v>4990.293</v>
      </c>
      <c r="AC97" s="7">
        <f>IF(X97="rub",V97,V97*'Курс доллара'!$F$7)</f>
        <v>2861.9808000000003</v>
      </c>
      <c r="AD97" s="7" t="str">
        <f t="shared" si="5"/>
        <v>мсфо</v>
      </c>
      <c r="AE97" s="4" t="s">
        <v>143</v>
      </c>
    </row>
    <row r="98" spans="2:31" ht="12.75">
      <c r="B98" s="2" t="s">
        <v>23</v>
      </c>
      <c r="C98" s="1" t="s">
        <v>81</v>
      </c>
      <c r="D98" s="1">
        <v>2010</v>
      </c>
      <c r="E98" s="1">
        <f>133000000*'Курс доллара'!F8</f>
        <v>4037953150</v>
      </c>
      <c r="F98" s="1"/>
      <c r="G98" s="1"/>
      <c r="H98" s="1">
        <f>232000000*'Курс доллара'!F8</f>
        <v>7043647600</v>
      </c>
      <c r="I98" s="1">
        <f>10552*'Курс доллара'!C8</f>
        <v>321592.2488</v>
      </c>
      <c r="J98" s="1"/>
      <c r="K98" s="1">
        <f>16738*'Курс доллара'!C8</f>
        <v>510122.3522</v>
      </c>
      <c r="L98" s="1">
        <f>7719*'Курс доллара'!F8</f>
        <v>234353.08545</v>
      </c>
      <c r="M98" s="1">
        <f>10257*'Курс доллара'!C8</f>
        <v>312601.5633</v>
      </c>
      <c r="N98" s="17">
        <f t="shared" si="3"/>
        <v>0.030055706697758776</v>
      </c>
      <c r="O98" s="1"/>
      <c r="P98" s="1">
        <f>(2454+7+1074+13)*'Курс доллара'!C8</f>
        <v>108132.0412</v>
      </c>
      <c r="Q98" s="1">
        <f>12226*'Курс доллара'!C8</f>
        <v>372610.5794</v>
      </c>
      <c r="R98" s="7">
        <v>826</v>
      </c>
      <c r="S98" s="7">
        <v>610</v>
      </c>
      <c r="T98" s="7">
        <f t="shared" si="4"/>
        <v>1436</v>
      </c>
      <c r="U98" s="7">
        <f>515*'Курс доллара'!C8</f>
        <v>15695.603500000001</v>
      </c>
      <c r="V98" s="7">
        <v>140</v>
      </c>
      <c r="W98" s="4" t="s">
        <v>144</v>
      </c>
      <c r="X98" s="4" t="s">
        <v>142</v>
      </c>
      <c r="Y98" s="7">
        <f>IF(X98="rub",R98,R98*'Курс доллара'!$F$7)</f>
        <v>24624.9598</v>
      </c>
      <c r="Z98" s="7">
        <f>IF(X98="rub",S98,S98*'Курс доллара'!$F$7)</f>
        <v>18185.503</v>
      </c>
      <c r="AA98" s="7">
        <f>IF(X98="rub",T98,T98*'Курс доллара'!$F$7)</f>
        <v>42810.4628</v>
      </c>
      <c r="AB98" s="7">
        <f>IF(X98="rub",U98,U98*'Курс доллара'!$C$7)</f>
        <v>474700.9713747</v>
      </c>
      <c r="AC98" s="7">
        <f>IF(X98="rub",V98,V98*'Курс доллара'!$F$7)</f>
        <v>4173.722</v>
      </c>
      <c r="AD98" s="7" t="str">
        <f>W98</f>
        <v>мсфо</v>
      </c>
      <c r="AE98" s="4" t="s">
        <v>143</v>
      </c>
    </row>
    <row r="99" spans="1:31" ht="12.75">
      <c r="A99">
        <v>25</v>
      </c>
      <c r="B99" s="2" t="s">
        <v>24</v>
      </c>
      <c r="C99" s="1" t="s">
        <v>82</v>
      </c>
      <c r="D99" s="1">
        <v>2007</v>
      </c>
      <c r="E99" s="1">
        <v>296000000</v>
      </c>
      <c r="F99" s="1" t="s">
        <v>122</v>
      </c>
      <c r="G99" s="1">
        <v>739000000</v>
      </c>
      <c r="H99" s="1">
        <v>1627000000</v>
      </c>
      <c r="I99" s="1">
        <v>-30464</v>
      </c>
      <c r="J99" s="1" t="s">
        <v>122</v>
      </c>
      <c r="K99" s="1">
        <v>185025</v>
      </c>
      <c r="L99" s="1">
        <v>78598</v>
      </c>
      <c r="M99" s="1">
        <v>135660</v>
      </c>
      <c r="N99" s="17">
        <f t="shared" si="3"/>
        <v>0.020700272271559073</v>
      </c>
      <c r="O99" s="1">
        <v>0.6414211</v>
      </c>
      <c r="P99" s="1">
        <v>17605</v>
      </c>
      <c r="Q99" s="1">
        <v>132324</v>
      </c>
      <c r="R99" s="7">
        <v>5625</v>
      </c>
      <c r="S99" s="7">
        <v>1411</v>
      </c>
      <c r="T99" s="7">
        <f t="shared" si="4"/>
        <v>7036</v>
      </c>
      <c r="U99" s="7">
        <v>11161</v>
      </c>
      <c r="V99" s="7">
        <f>421-29</f>
        <v>392</v>
      </c>
      <c r="W99" s="4" t="s">
        <v>144</v>
      </c>
      <c r="X99" s="4" t="s">
        <v>143</v>
      </c>
      <c r="Y99" s="7">
        <f>IF(X99="rub",R99,R99*'Курс доллара'!$F$5)</f>
        <v>5625</v>
      </c>
      <c r="Z99" s="7">
        <f>IF(X99="rub",S99,S99*'Курс доллара'!$F$5)</f>
        <v>1411</v>
      </c>
      <c r="AA99" s="7">
        <f>IF(X99="rub",T99,T99*'Курс доллара'!$F$5)</f>
        <v>7036</v>
      </c>
      <c r="AB99" s="7">
        <f>IF(X99="rub",U99,U99*'Курс доллара'!$C$5)</f>
        <v>11161</v>
      </c>
      <c r="AC99" s="7">
        <f>IF(X99="rub",V99,V99*'Курс доллара'!$F$5)</f>
        <v>392</v>
      </c>
      <c r="AD99" s="7" t="str">
        <f t="shared" si="5"/>
        <v>мсфо</v>
      </c>
      <c r="AE99" s="4" t="s">
        <v>143</v>
      </c>
    </row>
    <row r="100" spans="2:31" ht="12.75">
      <c r="B100" s="2" t="s">
        <v>24</v>
      </c>
      <c r="C100" s="1" t="s">
        <v>82</v>
      </c>
      <c r="D100" s="1">
        <v>2008</v>
      </c>
      <c r="E100" s="1" t="s">
        <v>122</v>
      </c>
      <c r="F100" s="1" t="s">
        <v>122</v>
      </c>
      <c r="G100" s="1">
        <v>1372000000</v>
      </c>
      <c r="H100" s="1">
        <v>2055000000</v>
      </c>
      <c r="I100" s="1">
        <v>-29467</v>
      </c>
      <c r="J100" s="1">
        <v>-21250</v>
      </c>
      <c r="K100" s="1">
        <v>248839</v>
      </c>
      <c r="L100" s="1">
        <v>94819</v>
      </c>
      <c r="M100" s="1">
        <v>185870</v>
      </c>
      <c r="N100" s="17">
        <f t="shared" si="3"/>
        <v>0.02167287147090773</v>
      </c>
      <c r="O100" s="1">
        <v>0.9473014</v>
      </c>
      <c r="P100" s="1">
        <v>22699</v>
      </c>
      <c r="Q100" s="1">
        <v>199859</v>
      </c>
      <c r="R100" s="7">
        <v>6621</v>
      </c>
      <c r="S100" s="7">
        <v>1719</v>
      </c>
      <c r="T100" s="7">
        <f>V100+S100</f>
        <v>3009</v>
      </c>
      <c r="U100" s="7">
        <v>3315</v>
      </c>
      <c r="V100" s="7">
        <f>1590-300</f>
        <v>1290</v>
      </c>
      <c r="W100" s="4" t="s">
        <v>144</v>
      </c>
      <c r="X100" s="4" t="s">
        <v>143</v>
      </c>
      <c r="Y100" s="7">
        <f>IF(X100="rub",R100,R100*'Курс доллара'!$F$6)</f>
        <v>6621</v>
      </c>
      <c r="Z100" s="7">
        <f>IF(X100="rub",S100,S100*'Курс доллара'!$F$6)</f>
        <v>1719</v>
      </c>
      <c r="AA100" s="7">
        <f>IF(X100="rub",T100,T100*'Курс доллара'!$F$6)</f>
        <v>3009</v>
      </c>
      <c r="AB100" s="7">
        <f>IF(X100="rub",U100,U100*'Курс доллара'!$C$6)</f>
        <v>3315</v>
      </c>
      <c r="AC100" s="7">
        <f>IF(X100="rub",V100,V100*'Курс доллара'!$F$6)</f>
        <v>1290</v>
      </c>
      <c r="AD100" s="7" t="str">
        <f t="shared" si="5"/>
        <v>мсфо</v>
      </c>
      <c r="AE100" s="4" t="s">
        <v>143</v>
      </c>
    </row>
    <row r="101" spans="2:31" ht="12.75">
      <c r="B101" s="2" t="s">
        <v>24</v>
      </c>
      <c r="C101" s="1" t="s">
        <v>82</v>
      </c>
      <c r="D101" s="1">
        <v>2009</v>
      </c>
      <c r="E101" s="1">
        <v>500000000</v>
      </c>
      <c r="F101" s="1" t="s">
        <v>122</v>
      </c>
      <c r="G101" s="1">
        <v>4509000000</v>
      </c>
      <c r="H101" s="1">
        <v>1658000000</v>
      </c>
      <c r="I101" s="1">
        <v>-115504</v>
      </c>
      <c r="J101" s="1">
        <v>575</v>
      </c>
      <c r="K101" s="1">
        <v>250432</v>
      </c>
      <c r="L101" s="1">
        <v>112636</v>
      </c>
      <c r="M101" s="1">
        <v>185708</v>
      </c>
      <c r="N101" s="17">
        <f t="shared" si="3"/>
        <v>0.014719982953940126</v>
      </c>
      <c r="O101" s="1">
        <v>0.6641684</v>
      </c>
      <c r="P101" s="1">
        <v>18765</v>
      </c>
      <c r="Q101" s="1">
        <v>188071</v>
      </c>
      <c r="R101" s="7">
        <v>11705</v>
      </c>
      <c r="S101" s="7">
        <v>1899</v>
      </c>
      <c r="T101" s="7">
        <f>V101+S101</f>
        <v>2952</v>
      </c>
      <c r="U101" s="7">
        <v>2267</v>
      </c>
      <c r="V101" s="7">
        <v>1053</v>
      </c>
      <c r="W101" s="4" t="s">
        <v>144</v>
      </c>
      <c r="X101" s="4" t="s">
        <v>143</v>
      </c>
      <c r="Y101" s="7">
        <f>IF(X101="rub",R101,R101*'Курс доллара'!$F$7)</f>
        <v>11705</v>
      </c>
      <c r="Z101" s="7">
        <f>IF(X101="rub",S101,S101*'Курс доллара'!$F$7)</f>
        <v>1899</v>
      </c>
      <c r="AA101" s="7">
        <f>IF(X101="rub",T101,T101*'Курс доллара'!$F$7)</f>
        <v>2952</v>
      </c>
      <c r="AB101" s="7">
        <f>IF(X101="rub",U101,U101*'Курс доллара'!$C$7)</f>
        <v>2267</v>
      </c>
      <c r="AC101" s="7">
        <f>IF(X101="rub",V101,V101*'Курс доллара'!$F$7)</f>
        <v>1053</v>
      </c>
      <c r="AD101" s="7" t="str">
        <f t="shared" si="5"/>
        <v>мсфо</v>
      </c>
      <c r="AE101" s="4" t="s">
        <v>143</v>
      </c>
    </row>
    <row r="102" spans="2:31" ht="12.75">
      <c r="B102" s="2" t="s">
        <v>24</v>
      </c>
      <c r="C102" s="1" t="s">
        <v>82</v>
      </c>
      <c r="D102" s="1">
        <v>2010</v>
      </c>
      <c r="E102" s="1">
        <v>500000000</v>
      </c>
      <c r="F102" s="1"/>
      <c r="G102" s="1"/>
      <c r="H102" s="1">
        <v>8668000000</v>
      </c>
      <c r="I102" s="1">
        <v>-107336</v>
      </c>
      <c r="J102" s="1"/>
      <c r="K102" s="1">
        <v>255701</v>
      </c>
      <c r="L102" s="1">
        <v>145298</v>
      </c>
      <c r="M102" s="1">
        <v>193769</v>
      </c>
      <c r="N102" s="17">
        <f t="shared" si="3"/>
        <v>0.05965670552932594</v>
      </c>
      <c r="O102" s="1"/>
      <c r="P102" s="1">
        <f>11770+4976</f>
        <v>16746</v>
      </c>
      <c r="Q102" s="1">
        <f>180559+898</f>
        <v>181457</v>
      </c>
      <c r="R102" s="7">
        <v>12214</v>
      </c>
      <c r="S102" s="7">
        <v>7878</v>
      </c>
      <c r="T102" s="7">
        <f>V102+S102</f>
        <v>7969</v>
      </c>
      <c r="U102" s="7">
        <v>28334</v>
      </c>
      <c r="V102" s="7">
        <v>91</v>
      </c>
      <c r="W102" s="4" t="s">
        <v>144</v>
      </c>
      <c r="X102" s="4" t="s">
        <v>143</v>
      </c>
      <c r="Y102" s="7">
        <f>IF(X102="rub",R102,R102*'Курс доллара'!$F$7)</f>
        <v>12214</v>
      </c>
      <c r="Z102" s="7">
        <f>IF(X102="rub",S102,S102*'Курс доллара'!$F$7)</f>
        <v>7878</v>
      </c>
      <c r="AA102" s="7">
        <f>IF(X102="rub",T102,T102*'Курс доллара'!$F$7)</f>
        <v>7969</v>
      </c>
      <c r="AB102" s="7">
        <f>IF(X102="rub",U102,U102*'Курс доллара'!$C$7)</f>
        <v>28334</v>
      </c>
      <c r="AC102" s="7">
        <f>IF(X102="rub",V102,V102*'Курс доллара'!$F$7)</f>
        <v>91</v>
      </c>
      <c r="AD102" s="7" t="str">
        <f>W102</f>
        <v>мсфо</v>
      </c>
      <c r="AE102" s="4" t="s">
        <v>143</v>
      </c>
    </row>
    <row r="103" spans="1:31" ht="12.75">
      <c r="A103">
        <v>26</v>
      </c>
      <c r="B103" s="2" t="s">
        <v>25</v>
      </c>
      <c r="C103" s="1" t="s">
        <v>83</v>
      </c>
      <c r="D103" s="1">
        <v>2007</v>
      </c>
      <c r="E103" s="1">
        <v>29580959887</v>
      </c>
      <c r="F103" s="1" t="s">
        <v>122</v>
      </c>
      <c r="G103" s="1">
        <v>37025594000</v>
      </c>
      <c r="H103" s="1">
        <v>52927000000</v>
      </c>
      <c r="I103" s="1">
        <v>118587.7</v>
      </c>
      <c r="J103" s="1">
        <v>51999.01</v>
      </c>
      <c r="K103" s="1">
        <v>270216.5</v>
      </c>
      <c r="L103" s="1">
        <v>211023.7</v>
      </c>
      <c r="M103" s="1">
        <v>134112.7</v>
      </c>
      <c r="N103" s="17">
        <f t="shared" si="3"/>
        <v>0.25081069093187164</v>
      </c>
      <c r="O103" s="1">
        <v>21.20204</v>
      </c>
      <c r="P103" s="1">
        <v>83816.4</v>
      </c>
      <c r="Q103" s="1">
        <v>162836.3</v>
      </c>
      <c r="R103" s="7">
        <v>1489.548</v>
      </c>
      <c r="S103" s="7">
        <v>2733.846</v>
      </c>
      <c r="T103" s="7">
        <f t="shared" si="4"/>
        <v>4223.394</v>
      </c>
      <c r="U103" s="7">
        <v>1705.948</v>
      </c>
      <c r="V103" s="7">
        <v>134.581</v>
      </c>
      <c r="W103" s="4" t="s">
        <v>144</v>
      </c>
      <c r="X103" s="4" t="s">
        <v>142</v>
      </c>
      <c r="Y103" s="7">
        <f>IF(X103="rub",R103,R103*'Курс доллара'!$F$5)</f>
        <v>37892.090230199996</v>
      </c>
      <c r="Z103" s="7">
        <f>IF(X103="rub",S103,S103*'Курс доллара'!$F$5)</f>
        <v>69545.35154789999</v>
      </c>
      <c r="AA103" s="7">
        <f>IF(X103="rub",T103,T103*'Курс доллара'!$F$5)</f>
        <v>107437.44177810001</v>
      </c>
      <c r="AB103" s="7">
        <f>IF(X103="rub",U103,U103*'Курс доллара'!$C$5)</f>
        <v>41874.5407976</v>
      </c>
      <c r="AC103" s="7">
        <f>IF(X103="rub",V103,V103*'Курс доллара'!$F$5)</f>
        <v>3423.5589556499995</v>
      </c>
      <c r="AD103" s="7" t="str">
        <f t="shared" si="5"/>
        <v>мсфо</v>
      </c>
      <c r="AE103" s="4" t="s">
        <v>143</v>
      </c>
    </row>
    <row r="104" spans="2:31" ht="12.75">
      <c r="B104" s="2" t="s">
        <v>25</v>
      </c>
      <c r="C104" s="1" t="s">
        <v>83</v>
      </c>
      <c r="D104" s="1">
        <v>2008</v>
      </c>
      <c r="E104" s="1">
        <v>39404612202</v>
      </c>
      <c r="F104" s="1" t="s">
        <v>122</v>
      </c>
      <c r="G104" s="1">
        <v>2153291000</v>
      </c>
      <c r="H104" s="1">
        <v>49739000000</v>
      </c>
      <c r="I104" s="1">
        <v>100368.8</v>
      </c>
      <c r="J104" s="1">
        <v>64092.72</v>
      </c>
      <c r="K104" s="1">
        <v>307210.3</v>
      </c>
      <c r="L104" s="1">
        <v>254917.7</v>
      </c>
      <c r="M104" s="1">
        <v>119225.3</v>
      </c>
      <c r="N104" s="17">
        <f t="shared" si="3"/>
        <v>0.19511787529857674</v>
      </c>
      <c r="O104" s="1">
        <v>18.02866</v>
      </c>
      <c r="P104" s="1">
        <v>119823.3</v>
      </c>
      <c r="Q104" s="1">
        <v>174629.3</v>
      </c>
      <c r="R104" s="7">
        <v>1936.837</v>
      </c>
      <c r="S104" s="7">
        <v>3203.492</v>
      </c>
      <c r="T104" s="7">
        <f t="shared" si="4"/>
        <v>5140.329</v>
      </c>
      <c r="U104" s="7">
        <v>4359.22</v>
      </c>
      <c r="V104" s="7">
        <v>153.341</v>
      </c>
      <c r="W104" s="4" t="s">
        <v>144</v>
      </c>
      <c r="X104" s="4" t="s">
        <v>142</v>
      </c>
      <c r="Y104" s="7">
        <f>IF(X104="rub",R104,R104*'Курс доллара'!$F$6)</f>
        <v>52223.5170821</v>
      </c>
      <c r="Z104" s="7">
        <f>IF(X104="rub",S104,S104*'Курс доллара'!$F$6)</f>
        <v>86376.7158436</v>
      </c>
      <c r="AA104" s="7">
        <f>IF(X104="rub",T104,T104*'Курс доллара'!$F$6)</f>
        <v>138600.2329257</v>
      </c>
      <c r="AB104" s="7">
        <f>IF(X104="rub",U104,U104*'Курс доллара'!$C$6)</f>
        <v>128075.62728800002</v>
      </c>
      <c r="AC104" s="7">
        <f>IF(X104="rub",V104,V104*'Курс доллара'!$F$6)</f>
        <v>4134.5793853000005</v>
      </c>
      <c r="AD104" s="7" t="str">
        <f t="shared" si="5"/>
        <v>мсфо</v>
      </c>
      <c r="AE104" s="4" t="s">
        <v>143</v>
      </c>
    </row>
    <row r="105" spans="2:31" ht="12.75">
      <c r="B105" s="2" t="s">
        <v>25</v>
      </c>
      <c r="C105" s="1" t="s">
        <v>83</v>
      </c>
      <c r="D105" s="1">
        <v>2009</v>
      </c>
      <c r="E105" s="1">
        <v>30697222525</v>
      </c>
      <c r="F105" s="1" t="s">
        <v>122</v>
      </c>
      <c r="G105" s="1">
        <v>6627734000</v>
      </c>
      <c r="H105" s="1">
        <v>31668000000</v>
      </c>
      <c r="I105" s="1">
        <f>5097.462*'Курс доллара'!C7</f>
        <v>154168.66022040002</v>
      </c>
      <c r="J105" s="1">
        <v>52504.27</v>
      </c>
      <c r="K105" s="1">
        <v>473974.7</v>
      </c>
      <c r="L105" s="1">
        <v>311892.1</v>
      </c>
      <c r="M105" s="1">
        <v>132246.2</v>
      </c>
      <c r="N105" s="17">
        <f t="shared" si="3"/>
        <v>0.10153511422700352</v>
      </c>
      <c r="O105" s="1">
        <v>7.659278</v>
      </c>
      <c r="P105" s="1">
        <v>250177</v>
      </c>
      <c r="Q105" s="1">
        <v>260820.7</v>
      </c>
      <c r="R105" s="7">
        <v>1844.174</v>
      </c>
      <c r="S105" s="7">
        <v>2555.885</v>
      </c>
      <c r="T105" s="7">
        <f t="shared" si="4"/>
        <v>4400.059</v>
      </c>
      <c r="U105" s="7">
        <v>2529.01</v>
      </c>
      <c r="V105" s="7">
        <v>571.901</v>
      </c>
      <c r="W105" s="4" t="s">
        <v>144</v>
      </c>
      <c r="X105" s="4" t="s">
        <v>142</v>
      </c>
      <c r="Y105" s="7">
        <f>IF(X105="rub",R105,R105*'Курс доллара'!$F$7)</f>
        <v>54979.0685402</v>
      </c>
      <c r="Z105" s="7">
        <f>IF(X105="rub",S105,S105*'Курс доллара'!$F$7)</f>
        <v>76196.81038550001</v>
      </c>
      <c r="AA105" s="7">
        <f>IF(X105="rub",T105,T105*'Курс доллара'!$F$7)</f>
        <v>131175.8789257</v>
      </c>
      <c r="AB105" s="7">
        <f>IF(X105="rub",U105,U105*'Курс доллара'!$C$7)</f>
        <v>76487.884242</v>
      </c>
      <c r="AC105" s="7">
        <f>IF(X105="rub",V105,V105*'Курс доллара'!$F$7)</f>
        <v>17049.6841823</v>
      </c>
      <c r="AD105" s="7" t="str">
        <f t="shared" si="5"/>
        <v>мсфо</v>
      </c>
      <c r="AE105" s="4" t="s">
        <v>143</v>
      </c>
    </row>
    <row r="106" spans="2:31" ht="12.75">
      <c r="B106" s="2" t="s">
        <v>25</v>
      </c>
      <c r="C106" s="1" t="s">
        <v>83</v>
      </c>
      <c r="D106" s="1">
        <v>2010</v>
      </c>
      <c r="E106" s="1">
        <f>1477639000*'Курс доллара'!F8</f>
        <v>44861932741.45</v>
      </c>
      <c r="F106" s="1"/>
      <c r="G106" s="1"/>
      <c r="H106" s="1">
        <f>1548443000*'Курс доллара'!F8</f>
        <v>47011581123.65</v>
      </c>
      <c r="I106" s="1">
        <f>4901.14*'Курс доллара'!C8</f>
        <v>149371.55366600002</v>
      </c>
      <c r="J106" s="1"/>
      <c r="K106" s="1">
        <f>14478.042*'Курс доллара'!C8</f>
        <v>441245.8382298</v>
      </c>
      <c r="L106" s="1">
        <f>11293.296*'Курс доллара'!F8</f>
        <v>342870.67787280004</v>
      </c>
      <c r="M106" s="1">
        <f>4156.803*'Курс доллара'!C8</f>
        <v>126686.4693507</v>
      </c>
      <c r="N106" s="17">
        <f t="shared" si="3"/>
        <v>0.13711169883442353</v>
      </c>
      <c r="O106" s="1"/>
      <c r="P106" s="1">
        <f>(6392.629+10.873+757.11)*'Курс доллара'!C8</f>
        <v>218233.25586279997</v>
      </c>
      <c r="Q106" s="1">
        <f>7971.83*'Курс доллара'!C8</f>
        <v>242956.665727</v>
      </c>
      <c r="R106" s="7">
        <v>2000.496</v>
      </c>
      <c r="S106" s="7">
        <v>2734.559</v>
      </c>
      <c r="T106" s="7">
        <f t="shared" si="4"/>
        <v>4735.055</v>
      </c>
      <c r="U106" s="7">
        <v>927.694</v>
      </c>
      <c r="V106" s="7">
        <v>777.287</v>
      </c>
      <c r="W106" s="4" t="s">
        <v>144</v>
      </c>
      <c r="X106" s="4" t="s">
        <v>142</v>
      </c>
      <c r="Y106" s="7">
        <f>IF(X106="rub",R106,R106*'Курс доллара'!$F$8)</f>
        <v>60736.1588328</v>
      </c>
      <c r="Z106" s="7">
        <f>IF(X106="rub",S106,S106*'Курс доллара'!$F$8)</f>
        <v>83022.71524745</v>
      </c>
      <c r="AA106" s="7">
        <f>IF(X106="rub",T106,T106*'Курс доллара'!$F$8)</f>
        <v>143758.87408025</v>
      </c>
      <c r="AB106" s="7">
        <f>IF(X106="rub",U106,U106*'Курс доллара'!$C$8)</f>
        <v>28273.237268599998</v>
      </c>
      <c r="AC106" s="7">
        <f>IF(X106="rub",V106,V106*'Курс доллара'!$F$8)</f>
        <v>23598.86082785</v>
      </c>
      <c r="AD106" s="7" t="str">
        <f t="shared" si="5"/>
        <v>мсфо</v>
      </c>
      <c r="AE106" s="4" t="s">
        <v>143</v>
      </c>
    </row>
    <row r="107" spans="1:31" ht="12.75">
      <c r="A107">
        <v>27</v>
      </c>
      <c r="B107" s="2" t="s">
        <v>26</v>
      </c>
      <c r="C107" s="1" t="s">
        <v>84</v>
      </c>
      <c r="D107" s="1">
        <v>2007</v>
      </c>
      <c r="E107" s="1">
        <v>547368510</v>
      </c>
      <c r="F107" s="1">
        <v>148526047</v>
      </c>
      <c r="G107" s="1">
        <v>750421000</v>
      </c>
      <c r="H107" s="1" t="s">
        <v>122</v>
      </c>
      <c r="I107" s="1">
        <v>753.668</v>
      </c>
      <c r="J107" s="1">
        <v>440.944</v>
      </c>
      <c r="K107" s="1">
        <v>2064.717</v>
      </c>
      <c r="L107" s="1">
        <v>16807.74</v>
      </c>
      <c r="M107" s="1">
        <v>870.3955</v>
      </c>
      <c r="N107" s="17">
        <f>G107/L107/1000000</f>
        <v>0.04464734699608632</v>
      </c>
      <c r="O107" s="1">
        <v>44.58493</v>
      </c>
      <c r="P107" s="1">
        <v>0</v>
      </c>
      <c r="Q107" s="1">
        <v>156.757</v>
      </c>
      <c r="R107" s="7">
        <v>7.841</v>
      </c>
      <c r="S107" s="7">
        <v>1283.363</v>
      </c>
      <c r="T107" s="7">
        <f t="shared" si="4"/>
        <v>1291.204</v>
      </c>
      <c r="U107" s="7">
        <v>150.388</v>
      </c>
      <c r="V107" s="7">
        <v>6.027</v>
      </c>
      <c r="W107" s="4" t="s">
        <v>139</v>
      </c>
      <c r="X107" s="4" t="s">
        <v>143</v>
      </c>
      <c r="Y107" s="7">
        <f>IF(X107="rub",R107,R107*'Курс доллара'!$F$5)</f>
        <v>7.841</v>
      </c>
      <c r="Z107" s="7">
        <f>IF(X107="rub",S107,S107*'Курс доллара'!$F$5)</f>
        <v>1283.363</v>
      </c>
      <c r="AA107" s="7">
        <f>IF(X107="rub",T107,T107*'Курс доллара'!$F$5)</f>
        <v>1291.204</v>
      </c>
      <c r="AB107" s="7">
        <f>IF(X107="rub",U107,U107*'Курс доллара'!$C$5)</f>
        <v>150.388</v>
      </c>
      <c r="AC107" s="7">
        <f>IF(X107="rub",V107,V107*'Курс доллара'!$F$5)</f>
        <v>6.027</v>
      </c>
      <c r="AD107" s="7" t="str">
        <f t="shared" si="5"/>
        <v>рсбу</v>
      </c>
      <c r="AE107" s="4" t="s">
        <v>143</v>
      </c>
    </row>
    <row r="108" spans="2:31" ht="12.75">
      <c r="B108" s="2" t="s">
        <v>26</v>
      </c>
      <c r="C108" s="1" t="s">
        <v>84</v>
      </c>
      <c r="D108" s="1">
        <v>2008</v>
      </c>
      <c r="E108" s="1">
        <v>852771430</v>
      </c>
      <c r="F108" s="1">
        <v>231395787</v>
      </c>
      <c r="G108" s="1">
        <v>1095641328</v>
      </c>
      <c r="H108" s="1" t="s">
        <v>122</v>
      </c>
      <c r="I108" s="1">
        <v>552.244</v>
      </c>
      <c r="J108" s="1" t="s">
        <v>122</v>
      </c>
      <c r="K108" s="1">
        <v>2878.5769999999998</v>
      </c>
      <c r="L108" s="1">
        <v>23169.79</v>
      </c>
      <c r="M108" s="1">
        <v>668.9715</v>
      </c>
      <c r="N108" s="17">
        <f>G108/L108/1000000</f>
        <v>0.04728749496650595</v>
      </c>
      <c r="O108" s="1">
        <v>35.72001</v>
      </c>
      <c r="P108" s="1">
        <v>0</v>
      </c>
      <c r="Q108" s="1">
        <v>166.683</v>
      </c>
      <c r="R108" s="7">
        <v>11.141</v>
      </c>
      <c r="S108" s="7">
        <v>1615.314</v>
      </c>
      <c r="T108" s="7">
        <f t="shared" si="4"/>
        <v>1626.4550000000002</v>
      </c>
      <c r="U108" s="7">
        <v>82.233</v>
      </c>
      <c r="V108" s="7">
        <v>6.134</v>
      </c>
      <c r="W108" s="4" t="s">
        <v>139</v>
      </c>
      <c r="X108" s="4" t="s">
        <v>143</v>
      </c>
      <c r="Y108" s="7">
        <f>IF(X108="rub",R108,R108*'Курс доллара'!$F$6)</f>
        <v>11.141</v>
      </c>
      <c r="Z108" s="7">
        <f>IF(X108="rub",S108,S108*'Курс доллара'!$F$6)</f>
        <v>1615.314</v>
      </c>
      <c r="AA108" s="7">
        <f>IF(X108="rub",T108,T108*'Курс доллара'!$F$6)</f>
        <v>1626.4550000000002</v>
      </c>
      <c r="AB108" s="7">
        <f>IF(X108="rub",U108,U108*'Курс доллара'!$C$6)</f>
        <v>82.233</v>
      </c>
      <c r="AC108" s="7">
        <f>IF(X108="rub",V108,V108*'Курс доллара'!$F$6)</f>
        <v>6.134</v>
      </c>
      <c r="AD108" s="7" t="str">
        <f t="shared" si="5"/>
        <v>рсбу</v>
      </c>
      <c r="AE108" s="4" t="s">
        <v>143</v>
      </c>
    </row>
    <row r="109" spans="2:31" ht="12.75">
      <c r="B109" s="2" t="s">
        <v>26</v>
      </c>
      <c r="C109" s="1" t="s">
        <v>84</v>
      </c>
      <c r="D109" s="1">
        <v>2009</v>
      </c>
      <c r="E109" s="1">
        <v>849493632</v>
      </c>
      <c r="F109" s="1">
        <v>230506372</v>
      </c>
      <c r="G109" s="1">
        <v>1119147408</v>
      </c>
      <c r="H109" s="1" t="s">
        <v>122</v>
      </c>
      <c r="I109" s="1">
        <v>660.279</v>
      </c>
      <c r="J109" s="1" t="s">
        <v>122</v>
      </c>
      <c r="K109" s="1">
        <v>5053.6089999999995</v>
      </c>
      <c r="L109" s="1">
        <v>27008.91</v>
      </c>
      <c r="M109" s="1">
        <v>749.8755</v>
      </c>
      <c r="N109" s="17">
        <f>G109/L109/1000000</f>
        <v>0.041436230044085455</v>
      </c>
      <c r="O109" s="1">
        <v>28.21787</v>
      </c>
      <c r="P109" s="1">
        <v>1816.057</v>
      </c>
      <c r="Q109" s="1">
        <v>145.12</v>
      </c>
      <c r="R109" s="7">
        <v>14.367</v>
      </c>
      <c r="S109" s="7">
        <v>1654.569</v>
      </c>
      <c r="T109" s="7">
        <f t="shared" si="4"/>
        <v>1668.936</v>
      </c>
      <c r="U109" s="7">
        <v>41.643</v>
      </c>
      <c r="V109" s="7">
        <v>105.83</v>
      </c>
      <c r="W109" s="4" t="s">
        <v>139</v>
      </c>
      <c r="X109" s="4" t="s">
        <v>143</v>
      </c>
      <c r="Y109" s="7">
        <f>IF(X109="rub",R109,R109*'Курс доллара'!$F$7)</f>
        <v>14.367</v>
      </c>
      <c r="Z109" s="7">
        <f>IF(X109="rub",S109,S109*'Курс доллара'!$F$7)</f>
        <v>1654.569</v>
      </c>
      <c r="AA109" s="7">
        <f>IF(X109="rub",T109,T109*'Курс доллара'!$F$7)</f>
        <v>1668.936</v>
      </c>
      <c r="AB109" s="7">
        <f>IF(X109="rub",U109,U109*'Курс доллара'!$C$7)</f>
        <v>41.643</v>
      </c>
      <c r="AC109" s="7">
        <f>IF(X109="rub",V109,V109*'Курс доллара'!$F$7)</f>
        <v>105.83</v>
      </c>
      <c r="AD109" s="7" t="str">
        <f t="shared" si="5"/>
        <v>рсбу</v>
      </c>
      <c r="AE109" s="4" t="s">
        <v>143</v>
      </c>
    </row>
    <row r="110" spans="2:31" ht="12.75">
      <c r="B110" s="2" t="s">
        <v>26</v>
      </c>
      <c r="C110" s="1" t="s">
        <v>84</v>
      </c>
      <c r="D110" s="1">
        <v>2010</v>
      </c>
      <c r="E110" s="1"/>
      <c r="F110" s="1"/>
      <c r="G110" s="1"/>
      <c r="H110" s="1"/>
      <c r="I110" s="1"/>
      <c r="J110" s="1"/>
      <c r="K110" s="1"/>
      <c r="L110" s="1"/>
      <c r="M110" s="1"/>
      <c r="N110" s="17"/>
      <c r="O110" s="1"/>
      <c r="P110" s="1"/>
      <c r="Q110" s="1"/>
      <c r="R110" s="7"/>
      <c r="S110" s="7"/>
      <c r="T110" s="7"/>
      <c r="U110" s="7"/>
      <c r="V110" s="7"/>
      <c r="W110" s="4"/>
      <c r="X110" s="4"/>
      <c r="Y110" s="7"/>
      <c r="Z110" s="7"/>
      <c r="AA110" s="7"/>
      <c r="AB110" s="7"/>
      <c r="AC110" s="7"/>
      <c r="AD110" s="7"/>
      <c r="AE110" s="4"/>
    </row>
    <row r="111" spans="1:31" ht="12.75">
      <c r="A111">
        <v>28</v>
      </c>
      <c r="B111" s="2" t="s">
        <v>27</v>
      </c>
      <c r="C111" s="1" t="s">
        <v>85</v>
      </c>
      <c r="D111" s="1">
        <v>2007</v>
      </c>
      <c r="E111" s="1">
        <v>1082000000</v>
      </c>
      <c r="F111" s="1">
        <v>147000000</v>
      </c>
      <c r="G111" s="1">
        <v>4096383000</v>
      </c>
      <c r="H111" s="1">
        <v>3203000000</v>
      </c>
      <c r="I111" s="1">
        <v>20497</v>
      </c>
      <c r="J111" s="1">
        <v>-4353</v>
      </c>
      <c r="K111" s="1">
        <v>51398</v>
      </c>
      <c r="L111" s="1">
        <v>65183</v>
      </c>
      <c r="M111" s="1">
        <v>26072</v>
      </c>
      <c r="N111" s="17">
        <f t="shared" si="3"/>
        <v>0.049138579077366795</v>
      </c>
      <c r="O111" s="1">
        <v>6.304573</v>
      </c>
      <c r="P111" s="1">
        <v>14789</v>
      </c>
      <c r="Q111" s="1">
        <v>31707</v>
      </c>
      <c r="R111" s="7">
        <v>2471</v>
      </c>
      <c r="S111" s="7">
        <v>4597</v>
      </c>
      <c r="T111" s="7">
        <f t="shared" si="4"/>
        <v>7068</v>
      </c>
      <c r="U111" s="7">
        <v>152</v>
      </c>
      <c r="V111" s="7">
        <v>780</v>
      </c>
      <c r="W111" s="4" t="s">
        <v>144</v>
      </c>
      <c r="X111" s="4" t="s">
        <v>143</v>
      </c>
      <c r="Y111" s="7">
        <f>IF(X111="rub",R111,R111*'Курс доллара'!$F$5)</f>
        <v>2471</v>
      </c>
      <c r="Z111" s="7">
        <f>IF(X111="rub",S111,S111*'Курс доллара'!$F$5)</f>
        <v>4597</v>
      </c>
      <c r="AA111" s="7">
        <f>IF(X111="rub",T111,T111*'Курс доллара'!$F$5)</f>
        <v>7068</v>
      </c>
      <c r="AB111" s="7">
        <f>IF(X111="rub",U111,U111*'Курс доллара'!$C$5)</f>
        <v>152</v>
      </c>
      <c r="AC111" s="7">
        <f>IF(X111="rub",V111,V111*'Курс доллара'!$F$5)</f>
        <v>780</v>
      </c>
      <c r="AD111" s="7" t="str">
        <f t="shared" si="5"/>
        <v>мсфо</v>
      </c>
      <c r="AE111" s="4" t="s">
        <v>143</v>
      </c>
    </row>
    <row r="112" spans="2:31" ht="12.75">
      <c r="B112" s="2" t="s">
        <v>27</v>
      </c>
      <c r="C112" s="1" t="s">
        <v>85</v>
      </c>
      <c r="D112" s="1">
        <v>2008</v>
      </c>
      <c r="E112" s="1">
        <v>499000000</v>
      </c>
      <c r="F112" s="1">
        <v>68000000</v>
      </c>
      <c r="G112" s="1">
        <v>1763778000</v>
      </c>
      <c r="H112" s="1">
        <v>1532000000</v>
      </c>
      <c r="I112" s="1">
        <v>20998</v>
      </c>
      <c r="J112" s="1">
        <v>798</v>
      </c>
      <c r="K112" s="1">
        <v>57587</v>
      </c>
      <c r="L112" s="1">
        <v>77868</v>
      </c>
      <c r="M112" s="1">
        <v>27330</v>
      </c>
      <c r="N112" s="17">
        <f t="shared" si="3"/>
        <v>0.01967432064519443</v>
      </c>
      <c r="O112" s="1">
        <v>2.6869</v>
      </c>
      <c r="P112" s="1">
        <v>20125</v>
      </c>
      <c r="Q112" s="1">
        <v>37647</v>
      </c>
      <c r="R112" s="7">
        <v>2953</v>
      </c>
      <c r="S112" s="7">
        <v>5766</v>
      </c>
      <c r="T112" s="7">
        <f t="shared" si="4"/>
        <v>8719</v>
      </c>
      <c r="U112" s="7">
        <v>1700</v>
      </c>
      <c r="V112" s="7">
        <v>1183</v>
      </c>
      <c r="W112" s="4" t="s">
        <v>144</v>
      </c>
      <c r="X112" s="4" t="s">
        <v>143</v>
      </c>
      <c r="Y112" s="7">
        <f>IF(X112="rub",R112,R112*'Курс доллара'!$F$6)</f>
        <v>2953</v>
      </c>
      <c r="Z112" s="7">
        <f>IF(X112="rub",S112,S112*'Курс доллара'!$F$6)</f>
        <v>5766</v>
      </c>
      <c r="AA112" s="7">
        <f>IF(X112="rub",T112,T112*'Курс доллара'!$F$6)</f>
        <v>8719</v>
      </c>
      <c r="AB112" s="7">
        <f>IF(X112="rub",U112,U112*'Курс доллара'!$C$6)</f>
        <v>1700</v>
      </c>
      <c r="AC112" s="7">
        <f>IF(X112="rub",V112,V112*'Курс доллара'!$F$6)</f>
        <v>1183</v>
      </c>
      <c r="AD112" s="7" t="str">
        <f t="shared" si="5"/>
        <v>мсфо</v>
      </c>
      <c r="AE112" s="4" t="s">
        <v>143</v>
      </c>
    </row>
    <row r="113" spans="2:31" ht="12.75">
      <c r="B113" s="2" t="s">
        <v>27</v>
      </c>
      <c r="C113" s="1" t="s">
        <v>85</v>
      </c>
      <c r="D113" s="1">
        <v>2009</v>
      </c>
      <c r="E113" s="1">
        <v>113000000</v>
      </c>
      <c r="F113" s="1">
        <v>15000000</v>
      </c>
      <c r="G113" s="1">
        <v>424322000</v>
      </c>
      <c r="H113" s="1">
        <v>-760000000</v>
      </c>
      <c r="I113" s="1">
        <v>19940</v>
      </c>
      <c r="J113" s="1">
        <v>5397</v>
      </c>
      <c r="K113" s="1">
        <v>55431</v>
      </c>
      <c r="L113" s="1">
        <v>63785</v>
      </c>
      <c r="M113" s="1">
        <v>26272</v>
      </c>
      <c r="N113" s="17">
        <f t="shared" si="3"/>
        <v>-0.011915027043975858</v>
      </c>
      <c r="O113" s="1">
        <v>-1.372045</v>
      </c>
      <c r="P113" s="1">
        <v>16841</v>
      </c>
      <c r="Q113" s="1">
        <v>35716</v>
      </c>
      <c r="R113" s="7">
        <v>3727</v>
      </c>
      <c r="S113" s="7">
        <v>1824</v>
      </c>
      <c r="T113" s="7">
        <f t="shared" si="4"/>
        <v>5551</v>
      </c>
      <c r="U113" s="7">
        <v>2664</v>
      </c>
      <c r="V113" s="7">
        <v>1467</v>
      </c>
      <c r="W113" s="4" t="s">
        <v>144</v>
      </c>
      <c r="X113" s="4" t="s">
        <v>143</v>
      </c>
      <c r="Y113" s="7">
        <f>IF(X113="rub",R113,R113*'Курс доллара'!$F$7)</f>
        <v>3727</v>
      </c>
      <c r="Z113" s="7">
        <f>IF(X113="rub",S113,S113*'Курс доллара'!$F$7)</f>
        <v>1824</v>
      </c>
      <c r="AA113" s="7">
        <f>IF(X113="rub",T113,T113*'Курс доллара'!$F$7)</f>
        <v>5551</v>
      </c>
      <c r="AB113" s="7">
        <f>IF(X113="rub",U113,U113*'Курс доллара'!$C$7)</f>
        <v>2664</v>
      </c>
      <c r="AC113" s="7">
        <f>IF(X113="rub",V113,V113*'Курс доллара'!$F$7)</f>
        <v>1467</v>
      </c>
      <c r="AD113" s="7" t="str">
        <f t="shared" si="5"/>
        <v>мсфо</v>
      </c>
      <c r="AE113" s="4" t="s">
        <v>143</v>
      </c>
    </row>
    <row r="114" spans="2:31" ht="12.75">
      <c r="B114" s="2" t="s">
        <v>27</v>
      </c>
      <c r="C114" s="1" t="s">
        <v>85</v>
      </c>
      <c r="D114" s="1">
        <v>2010</v>
      </c>
      <c r="E114" s="1">
        <v>124000000</v>
      </c>
      <c r="F114" s="1"/>
      <c r="G114" s="1"/>
      <c r="H114" s="1">
        <v>8885000000</v>
      </c>
      <c r="I114" s="1">
        <v>28291</v>
      </c>
      <c r="J114" s="1"/>
      <c r="K114" s="1">
        <v>57916</v>
      </c>
      <c r="L114" s="1">
        <v>96516</v>
      </c>
      <c r="M114" s="1">
        <v>34641</v>
      </c>
      <c r="N114" s="17">
        <f t="shared" si="3"/>
        <v>0.09205727547764102</v>
      </c>
      <c r="O114" s="1"/>
      <c r="P114" s="1">
        <f>8080+5986</f>
        <v>14066</v>
      </c>
      <c r="Q114" s="1">
        <v>34347</v>
      </c>
      <c r="R114" s="7">
        <v>3835</v>
      </c>
      <c r="S114" s="7">
        <v>12280</v>
      </c>
      <c r="T114" s="7">
        <f t="shared" si="4"/>
        <v>16115</v>
      </c>
      <c r="U114" s="7">
        <v>2793</v>
      </c>
      <c r="V114" s="7">
        <v>1313</v>
      </c>
      <c r="W114" s="4" t="s">
        <v>144</v>
      </c>
      <c r="X114" s="4" t="s">
        <v>143</v>
      </c>
      <c r="Y114" s="7">
        <f>IF(X114="rub",R114,R114*'Курс доллара'!$F$7)</f>
        <v>3835</v>
      </c>
      <c r="Z114" s="7">
        <f>IF(X114="rub",S114,S114*'Курс доллара'!$F$7)</f>
        <v>12280</v>
      </c>
      <c r="AA114" s="7">
        <f>IF(X114="rub",T114,T114*'Курс доллара'!$F$7)</f>
        <v>16115</v>
      </c>
      <c r="AB114" s="7">
        <f>IF(X114="rub",U114,U114*'Курс доллара'!$C$7)</f>
        <v>2793</v>
      </c>
      <c r="AC114" s="7">
        <f>IF(X114="rub",V114,V114*'Курс доллара'!$F$7)</f>
        <v>1313</v>
      </c>
      <c r="AD114" s="7" t="str">
        <f>W114</f>
        <v>мсфо</v>
      </c>
      <c r="AE114" s="4" t="s">
        <v>143</v>
      </c>
    </row>
    <row r="115" spans="1:31" ht="12.75">
      <c r="A115">
        <v>29</v>
      </c>
      <c r="B115" s="2" t="s">
        <v>28</v>
      </c>
      <c r="C115" s="1" t="s">
        <v>86</v>
      </c>
      <c r="D115" s="1">
        <v>2007</v>
      </c>
      <c r="E115" s="1">
        <v>17980000000</v>
      </c>
      <c r="F115" s="1" t="s">
        <v>122</v>
      </c>
      <c r="G115" s="1">
        <v>40423931000</v>
      </c>
      <c r="H115" s="1">
        <v>57422000000</v>
      </c>
      <c r="I115" s="1">
        <v>214808.9</v>
      </c>
      <c r="J115" s="1">
        <v>40049.3</v>
      </c>
      <c r="K115" s="1">
        <v>322188.6</v>
      </c>
      <c r="L115" s="1">
        <v>197386.1</v>
      </c>
      <c r="M115" s="1">
        <v>221549.5</v>
      </c>
      <c r="N115" s="17">
        <f t="shared" si="3"/>
        <v>0.29091207536903557</v>
      </c>
      <c r="O115" s="1">
        <v>20.62396</v>
      </c>
      <c r="P115" s="1">
        <v>39665.03</v>
      </c>
      <c r="Q115" s="1">
        <v>179093.6</v>
      </c>
      <c r="R115" s="7">
        <v>407.699</v>
      </c>
      <c r="S115" s="7">
        <v>2998.371</v>
      </c>
      <c r="T115" s="7">
        <f t="shared" si="4"/>
        <v>3406.07</v>
      </c>
      <c r="U115" s="7">
        <v>1154.641</v>
      </c>
      <c r="V115" s="7">
        <v>31.417</v>
      </c>
      <c r="W115" s="4" t="s">
        <v>144</v>
      </c>
      <c r="X115" s="4" t="s">
        <v>142</v>
      </c>
      <c r="Y115" s="7">
        <f>IF(X115="rub",R115,R115*'Курс доллара'!$F$5)</f>
        <v>10371.31216635</v>
      </c>
      <c r="Z115" s="7">
        <f>IF(X115="rub",S115,S115*'Курс доллара'!$F$5)</f>
        <v>76274.51043915</v>
      </c>
      <c r="AA115" s="7">
        <f>IF(X115="rub",T115,T115*'Курс доллара'!$F$5)</f>
        <v>86645.8226055</v>
      </c>
      <c r="AB115" s="7">
        <f>IF(X115="rub",U115,U115*'Курс доллара'!$C$5)</f>
        <v>28342.0489142</v>
      </c>
      <c r="AC115" s="7">
        <f>IF(X115="rub",V115,V115*'Курс доллара'!$F$5)</f>
        <v>799.20606705</v>
      </c>
      <c r="AD115" s="7" t="str">
        <f t="shared" si="5"/>
        <v>мсфо</v>
      </c>
      <c r="AE115" s="4" t="s">
        <v>143</v>
      </c>
    </row>
    <row r="116" spans="2:31" ht="12.75">
      <c r="B116" s="2" t="s">
        <v>28</v>
      </c>
      <c r="C116" s="1" t="s">
        <v>86</v>
      </c>
      <c r="D116" s="1">
        <v>2008</v>
      </c>
      <c r="E116" s="1">
        <v>11986000000</v>
      </c>
      <c r="F116" s="1" t="s">
        <v>122</v>
      </c>
      <c r="G116" s="1">
        <v>71675882000</v>
      </c>
      <c r="H116" s="1">
        <v>56681000000</v>
      </c>
      <c r="I116" s="1">
        <v>247465.8</v>
      </c>
      <c r="J116" s="1">
        <v>21061.85</v>
      </c>
      <c r="K116" s="1">
        <v>413536.5</v>
      </c>
      <c r="L116" s="1">
        <v>291079.7</v>
      </c>
      <c r="M116" s="1">
        <v>255509.4</v>
      </c>
      <c r="N116" s="17">
        <f t="shared" si="3"/>
        <v>0.19472673635433868</v>
      </c>
      <c r="O116" s="1">
        <v>16.7922</v>
      </c>
      <c r="P116" s="1">
        <v>88490.02</v>
      </c>
      <c r="Q116" s="1">
        <v>224686.4</v>
      </c>
      <c r="R116" s="7">
        <v>498.994</v>
      </c>
      <c r="S116" s="7">
        <v>4061.32</v>
      </c>
      <c r="T116" s="7">
        <f t="shared" si="4"/>
        <v>4560.314</v>
      </c>
      <c r="U116" s="7">
        <v>2159.969</v>
      </c>
      <c r="V116" s="7">
        <v>217.27</v>
      </c>
      <c r="W116" s="4" t="s">
        <v>144</v>
      </c>
      <c r="X116" s="4" t="s">
        <v>142</v>
      </c>
      <c r="Y116" s="7">
        <f>IF(X116="rub",R116,R116*'Курс доллара'!$F$6)</f>
        <v>13454.524920200001</v>
      </c>
      <c r="Z116" s="7">
        <f>IF(X116="rub",S116,S116*'Курс доллара'!$F$6)</f>
        <v>109506.589556</v>
      </c>
      <c r="AA116" s="7">
        <f>IF(X116="rub",T116,T116*'Курс доллара'!$F$6)</f>
        <v>122961.1144762</v>
      </c>
      <c r="AB116" s="7">
        <f>IF(X116="rub",U116,U116*'Курс доллара'!$C$6)</f>
        <v>63460.753207600006</v>
      </c>
      <c r="AC116" s="7">
        <f>IF(X116="rub",V116,V116*'Курс доллара'!$F$6)</f>
        <v>5858.316191</v>
      </c>
      <c r="AD116" s="7" t="str">
        <f t="shared" si="5"/>
        <v>мсфо</v>
      </c>
      <c r="AE116" s="4" t="s">
        <v>143</v>
      </c>
    </row>
    <row r="117" spans="2:31" ht="12.75">
      <c r="B117" s="2" t="s">
        <v>28</v>
      </c>
      <c r="C117" s="1" t="s">
        <v>86</v>
      </c>
      <c r="D117" s="1">
        <v>2009</v>
      </c>
      <c r="E117" s="1">
        <v>1319000000</v>
      </c>
      <c r="F117" s="1" t="s">
        <v>122</v>
      </c>
      <c r="G117" s="1">
        <v>23998490000</v>
      </c>
      <c r="H117" s="1">
        <v>6832000000</v>
      </c>
      <c r="I117" s="1">
        <v>251830.8</v>
      </c>
      <c r="J117" s="1">
        <v>8682.906</v>
      </c>
      <c r="K117" s="1">
        <v>375495.9</v>
      </c>
      <c r="L117" s="1">
        <v>194938.3</v>
      </c>
      <c r="M117" s="1">
        <v>261851.2</v>
      </c>
      <c r="N117" s="17">
        <f t="shared" si="3"/>
        <v>0.035046986661933545</v>
      </c>
      <c r="O117" s="1">
        <v>1.618995</v>
      </c>
      <c r="P117" s="1">
        <v>74943.78</v>
      </c>
      <c r="Q117" s="1">
        <v>224448.6</v>
      </c>
      <c r="R117" s="7">
        <v>478.117</v>
      </c>
      <c r="S117" s="7">
        <v>891.921</v>
      </c>
      <c r="T117" s="7">
        <f t="shared" si="4"/>
        <v>1370.038</v>
      </c>
      <c r="U117" s="7">
        <v>1247.048</v>
      </c>
      <c r="V117" s="7">
        <v>170.906</v>
      </c>
      <c r="W117" s="4" t="s">
        <v>144</v>
      </c>
      <c r="X117" s="4" t="s">
        <v>142</v>
      </c>
      <c r="Y117" s="7">
        <f>IF(X117="rub",R117,R117*'Курс доллара'!$F$7)</f>
        <v>14253.7674391</v>
      </c>
      <c r="Z117" s="7">
        <f>IF(X117="rub",S117,S117*'Курс доллара'!$F$7)</f>
        <v>26590.216428300002</v>
      </c>
      <c r="AA117" s="7">
        <f>IF(X117="rub",T117,T117*'Курс доллара'!$F$7)</f>
        <v>40843.9838674</v>
      </c>
      <c r="AB117" s="7">
        <f>IF(X117="rub",U117,U117*'Курс доллара'!$C$7)</f>
        <v>37715.9691216</v>
      </c>
      <c r="AC117" s="7">
        <f>IF(X117="rub",V117,V117*'Курс доллара'!$F$7)</f>
        <v>5095.1009438</v>
      </c>
      <c r="AD117" s="7" t="str">
        <f t="shared" si="5"/>
        <v>мсфо</v>
      </c>
      <c r="AE117" s="4" t="s">
        <v>143</v>
      </c>
    </row>
    <row r="118" spans="2:31" ht="12.75">
      <c r="B118" s="2" t="s">
        <v>28</v>
      </c>
      <c r="C118" s="1" t="s">
        <v>86</v>
      </c>
      <c r="D118" s="1">
        <v>2010</v>
      </c>
      <c r="E118" s="1">
        <f>164897000*'Курс доллара'!F8</f>
        <v>5006363613.35</v>
      </c>
      <c r="F118" s="1"/>
      <c r="G118" s="1"/>
      <c r="H118" s="1">
        <f>1223.978*'Курс доллара'!F8</f>
        <v>37160.6452679</v>
      </c>
      <c r="I118" s="1">
        <f>(10261.214-916.901)*'Курс доллара'!C8</f>
        <v>284785.6928697</v>
      </c>
      <c r="J118" s="1"/>
      <c r="K118" s="1">
        <f>13899.025*'Курс доллара'!C8</f>
        <v>423599.1950225</v>
      </c>
      <c r="L118" s="1">
        <f>8350.748*'Курс доллара'!F8</f>
        <v>253533.3021914</v>
      </c>
      <c r="M118" s="1">
        <f>9674.505*'Курс доллара'!C8</f>
        <v>294848.92143449996</v>
      </c>
      <c r="N118" s="17">
        <f t="shared" si="3"/>
        <v>1.4657106165818918E-07</v>
      </c>
      <c r="O118" s="1"/>
      <c r="P118" s="1">
        <f>(525.559+2098.863)*'Курс доллара'!C8</f>
        <v>79984.2468518</v>
      </c>
      <c r="Q118" s="1">
        <f>8382.478*'Курс доллара'!C8</f>
        <v>255471.94375819998</v>
      </c>
      <c r="R118" s="7">
        <v>469.418</v>
      </c>
      <c r="S118" s="7">
        <v>1794.59</v>
      </c>
      <c r="T118" s="7">
        <f t="shared" si="4"/>
        <v>2264.008</v>
      </c>
      <c r="U118" s="7">
        <v>747.979</v>
      </c>
      <c r="V118" s="7">
        <v>15.865</v>
      </c>
      <c r="W118" s="4" t="s">
        <v>144</v>
      </c>
      <c r="X118" s="4" t="s">
        <v>142</v>
      </c>
      <c r="Y118" s="7">
        <f>IF(X118="rub",R118,R118*'Курс доллара'!$F$8)</f>
        <v>14251.7886599</v>
      </c>
      <c r="Z118" s="7">
        <f>IF(X118="rub",S118,S118*'Курс доллара'!$F$8)</f>
        <v>54484.739424499996</v>
      </c>
      <c r="AA118" s="7">
        <f>IF(X118="rub",T118,T118*'Курс доллара'!$F$8)</f>
        <v>68736.5280844</v>
      </c>
      <c r="AB118" s="7">
        <f>IF(X118="rub",U118,U118*'Курс доллара'!$C$8)</f>
        <v>22796.081185100003</v>
      </c>
      <c r="AC118" s="7">
        <f>IF(X118="rub",V118,V118*'Курс доллара'!$F$8)</f>
        <v>481.67012575</v>
      </c>
      <c r="AD118" s="7" t="str">
        <f>W118</f>
        <v>мсфо</v>
      </c>
      <c r="AE118" s="4" t="s">
        <v>143</v>
      </c>
    </row>
    <row r="119" spans="1:31" ht="12.75">
      <c r="A119">
        <v>30</v>
      </c>
      <c r="B119" s="2" t="s">
        <v>29</v>
      </c>
      <c r="C119" s="1" t="s">
        <v>87</v>
      </c>
      <c r="D119" s="1">
        <v>2007</v>
      </c>
      <c r="E119" s="1">
        <v>356000000</v>
      </c>
      <c r="F119" s="1" t="s">
        <v>122</v>
      </c>
      <c r="G119" s="1">
        <v>2234292000</v>
      </c>
      <c r="H119" s="1">
        <v>2299340738</v>
      </c>
      <c r="I119" s="1">
        <v>17511.38</v>
      </c>
      <c r="J119" s="1">
        <v>1163.109</v>
      </c>
      <c r="K119" s="1">
        <v>35397.68</v>
      </c>
      <c r="L119" s="1">
        <v>12360.64</v>
      </c>
      <c r="M119" s="1">
        <v>18017.34</v>
      </c>
      <c r="N119" s="17">
        <f t="shared" si="3"/>
        <v>0.18602117188106765</v>
      </c>
      <c r="O119" s="1">
        <v>6.863302</v>
      </c>
      <c r="P119" s="1">
        <v>13271.37</v>
      </c>
      <c r="Q119" s="1">
        <v>19005.02</v>
      </c>
      <c r="R119" s="7">
        <v>48.514</v>
      </c>
      <c r="S119" s="7">
        <v>141.103</v>
      </c>
      <c r="T119" s="7">
        <f t="shared" si="4"/>
        <v>189.61700000000002</v>
      </c>
      <c r="U119" s="7">
        <v>66.66</v>
      </c>
      <c r="V119" s="7">
        <v>38.768</v>
      </c>
      <c r="W119" s="4" t="s">
        <v>144</v>
      </c>
      <c r="X119" s="4" t="s">
        <v>142</v>
      </c>
      <c r="Y119" s="7">
        <f>IF(X119="rub",R119,R119*'Курс доллара'!$F$5)</f>
        <v>1234.1306661</v>
      </c>
      <c r="Z119" s="7">
        <f>IF(X119="rub",S119,S119*'Курс доллара'!$F$5)</f>
        <v>3589.46983095</v>
      </c>
      <c r="AA119" s="7">
        <f>IF(X119="rub",T119,T119*'Курс доллара'!$F$5)</f>
        <v>4823.600497050001</v>
      </c>
      <c r="AB119" s="7">
        <f>IF(X119="rub",U119,U119*'Курс доллара'!$C$5)</f>
        <v>1636.2496919999999</v>
      </c>
      <c r="AC119" s="7">
        <f>IF(X119="rub",V119,V119*'Курс доллара'!$F$5)</f>
        <v>986.2055832</v>
      </c>
      <c r="AD119" s="7" t="str">
        <f t="shared" si="5"/>
        <v>мсфо</v>
      </c>
      <c r="AE119" s="4" t="s">
        <v>143</v>
      </c>
    </row>
    <row r="120" spans="2:31" ht="12.75">
      <c r="B120" s="2" t="s">
        <v>29</v>
      </c>
      <c r="C120" s="1" t="s">
        <v>87</v>
      </c>
      <c r="D120" s="1">
        <v>2008</v>
      </c>
      <c r="E120" s="1">
        <v>510000000</v>
      </c>
      <c r="F120" s="1" t="s">
        <v>122</v>
      </c>
      <c r="G120" s="1">
        <v>1938990000</v>
      </c>
      <c r="H120" s="1">
        <v>2814113472</v>
      </c>
      <c r="I120" s="1">
        <v>16719.46</v>
      </c>
      <c r="J120" s="1">
        <v>4790.674</v>
      </c>
      <c r="K120" s="1">
        <v>35473.1</v>
      </c>
      <c r="L120" s="1">
        <v>16266.92</v>
      </c>
      <c r="M120" s="1">
        <v>17299.46</v>
      </c>
      <c r="N120" s="17">
        <f t="shared" si="3"/>
        <v>0.17299608481507256</v>
      </c>
      <c r="O120" s="1">
        <v>6.847974</v>
      </c>
      <c r="P120" s="1">
        <v>14862.67</v>
      </c>
      <c r="Q120" s="1">
        <v>17041.36</v>
      </c>
      <c r="R120" s="7">
        <v>121.444</v>
      </c>
      <c r="S120" s="7">
        <v>234.337</v>
      </c>
      <c r="T120" s="7">
        <f t="shared" si="4"/>
        <v>355.781</v>
      </c>
      <c r="U120" s="7">
        <v>42.868</v>
      </c>
      <c r="V120" s="7">
        <v>34.514</v>
      </c>
      <c r="W120" s="4" t="s">
        <v>144</v>
      </c>
      <c r="X120" s="4" t="s">
        <v>142</v>
      </c>
      <c r="Y120" s="7">
        <f>IF(X120="rub",R120,R120*'Курс доллара'!$F$6)</f>
        <v>3274.5310052</v>
      </c>
      <c r="Z120" s="7">
        <f>IF(X120="rub",S120,S120*'Курс доллара'!$F$6)</f>
        <v>6318.4988321</v>
      </c>
      <c r="AA120" s="7">
        <f>IF(X120="rub",T120,T120*'Курс доллара'!$F$6)</f>
        <v>9593.0298373</v>
      </c>
      <c r="AB120" s="7">
        <f>IF(X120="rub",U120,U120*'Курс доллара'!$C$6)</f>
        <v>1259.4789872000001</v>
      </c>
      <c r="AC120" s="7">
        <f>IF(X120="rub",V120,V120*'Курс доллара'!$F$6)</f>
        <v>930.6113362000001</v>
      </c>
      <c r="AD120" s="7" t="str">
        <f t="shared" si="5"/>
        <v>мсфо</v>
      </c>
      <c r="AE120" s="4" t="s">
        <v>143</v>
      </c>
    </row>
    <row r="121" spans="2:31" ht="12.75">
      <c r="B121" s="2" t="s">
        <v>29</v>
      </c>
      <c r="C121" s="1" t="s">
        <v>87</v>
      </c>
      <c r="D121" s="1">
        <v>2009</v>
      </c>
      <c r="E121" s="1">
        <v>2407000000</v>
      </c>
      <c r="F121" s="1" t="s">
        <v>122</v>
      </c>
      <c r="G121" s="1">
        <v>5392817000</v>
      </c>
      <c r="H121" s="1">
        <v>7626528693</v>
      </c>
      <c r="I121" s="1">
        <v>23399.37</v>
      </c>
      <c r="J121" s="1">
        <v>9492.198</v>
      </c>
      <c r="K121" s="1">
        <v>40902.68</v>
      </c>
      <c r="L121" s="1">
        <v>21432.79</v>
      </c>
      <c r="M121" s="1">
        <v>23991.84</v>
      </c>
      <c r="N121" s="17">
        <f t="shared" si="3"/>
        <v>0.3558346203644042</v>
      </c>
      <c r="O121" s="1">
        <v>19.45226</v>
      </c>
      <c r="P121" s="1">
        <v>13658.45</v>
      </c>
      <c r="Q121" s="1">
        <v>16560.94</v>
      </c>
      <c r="R121" s="7">
        <v>62.96</v>
      </c>
      <c r="S121" s="7">
        <v>367.926</v>
      </c>
      <c r="T121" s="7">
        <f t="shared" si="4"/>
        <v>430.88599999999997</v>
      </c>
      <c r="U121" s="7">
        <v>159.075</v>
      </c>
      <c r="V121" s="7">
        <v>33.305</v>
      </c>
      <c r="W121" s="4" t="s">
        <v>144</v>
      </c>
      <c r="X121" s="4" t="s">
        <v>142</v>
      </c>
      <c r="Y121" s="7">
        <f>IF(X121="rub",R121,R121*'Курс доллара'!$F$7)</f>
        <v>1876.982408</v>
      </c>
      <c r="Z121" s="7">
        <f>IF(X121="rub",S121,S121*'Курс доллара'!$F$7)</f>
        <v>10968.7202898</v>
      </c>
      <c r="AA121" s="7">
        <f>IF(X121="rub",T121,T121*'Курс доллара'!$F$7)</f>
        <v>12845.7026978</v>
      </c>
      <c r="AB121" s="7">
        <f>IF(X121="rub",U121,U121*'Курс доллара'!$C$7)</f>
        <v>4811.096114999999</v>
      </c>
      <c r="AC121" s="7">
        <f>IF(X121="rub",V121,V121*'Курс доллара'!$F$7)</f>
        <v>992.8986515</v>
      </c>
      <c r="AD121" s="7" t="str">
        <f t="shared" si="5"/>
        <v>мсфо</v>
      </c>
      <c r="AE121" s="4" t="s">
        <v>143</v>
      </c>
    </row>
    <row r="122" spans="2:31" ht="12.75">
      <c r="B122" s="2" t="s">
        <v>29</v>
      </c>
      <c r="C122" s="1" t="s">
        <v>87</v>
      </c>
      <c r="D122" s="1">
        <v>2010</v>
      </c>
      <c r="E122" s="1">
        <f>79234000*'Курс доллара'!F8</f>
        <v>2405587818.7</v>
      </c>
      <c r="F122" s="1"/>
      <c r="G122" s="1"/>
      <c r="H122" s="1">
        <f>258440000*'Курс доллара'!F8</f>
        <v>7846380542</v>
      </c>
      <c r="I122" s="1">
        <f>996.33*'Курс доллара'!C8</f>
        <v>30365.049777</v>
      </c>
      <c r="J122" s="1"/>
      <c r="K122" s="1">
        <f>1382.707*'Курс доллара'!C8</f>
        <v>42140.622968300006</v>
      </c>
      <c r="L122" s="1">
        <f>635.315*'Курс доллара'!F8</f>
        <v>19288.512823250003</v>
      </c>
      <c r="M122" s="1">
        <f>965.371*'Курс доллара'!C8</f>
        <v>29421.5154299</v>
      </c>
      <c r="N122" s="17">
        <f t="shared" si="3"/>
        <v>0.40679033235481604</v>
      </c>
      <c r="O122" s="1"/>
      <c r="P122" s="1">
        <f>(305.412+15.9)*'Курс доллара'!C8</f>
        <v>9792.5936928</v>
      </c>
      <c r="Q122" s="1">
        <f>(563.839+4.862)*'Курс доллара'!C8</f>
        <v>17332.243506900002</v>
      </c>
      <c r="R122" s="7">
        <v>67.331</v>
      </c>
      <c r="S122" s="7">
        <v>346.472</v>
      </c>
      <c r="T122" s="7">
        <f t="shared" si="4"/>
        <v>413.803</v>
      </c>
      <c r="U122" s="7">
        <v>265.017</v>
      </c>
      <c r="V122" s="7">
        <v>26.079</v>
      </c>
      <c r="W122" s="4" t="s">
        <v>144</v>
      </c>
      <c r="X122" s="4" t="s">
        <v>142</v>
      </c>
      <c r="Y122" s="7">
        <f>IF(X122="rub",R122,R122*'Курс доллара'!$F$8)</f>
        <v>2044.20619205</v>
      </c>
      <c r="Z122" s="7">
        <f>IF(X122="rub",S122,S122*'Курс доллара'!$F$8)</f>
        <v>10519.0804796</v>
      </c>
      <c r="AA122" s="7">
        <f>IF(X122="rub",T122,T122*'Курс доллара'!$F$8)</f>
        <v>12563.28667165</v>
      </c>
      <c r="AB122" s="7">
        <f>IF(X122="rub",U122,U122*'Курс доллара'!$C$8)</f>
        <v>8076.8966073</v>
      </c>
      <c r="AC122" s="7">
        <f>IF(X122="rub",V122,V122*'Курс доллара'!$F$8)</f>
        <v>791.77278345</v>
      </c>
      <c r="AD122" s="7" t="str">
        <f>W122</f>
        <v>мсфо</v>
      </c>
      <c r="AE122" s="4" t="s">
        <v>143</v>
      </c>
    </row>
    <row r="123" spans="1:31" ht="12.75">
      <c r="A123">
        <v>31</v>
      </c>
      <c r="B123" s="2" t="s">
        <v>30</v>
      </c>
      <c r="C123" s="1" t="s">
        <v>88</v>
      </c>
      <c r="D123" s="1">
        <v>2007</v>
      </c>
      <c r="E123" s="1">
        <v>7135000000</v>
      </c>
      <c r="F123" s="1" t="s">
        <v>122</v>
      </c>
      <c r="G123" s="1">
        <v>16242376000</v>
      </c>
      <c r="H123" s="1">
        <v>18751000000</v>
      </c>
      <c r="I123" s="1">
        <v>50685</v>
      </c>
      <c r="J123" s="1">
        <v>1988</v>
      </c>
      <c r="K123" s="1">
        <v>103975</v>
      </c>
      <c r="L123" s="1">
        <v>62321</v>
      </c>
      <c r="M123" s="1">
        <v>81335</v>
      </c>
      <c r="N123" s="17">
        <f t="shared" si="3"/>
        <v>0.3008777137722437</v>
      </c>
      <c r="O123" s="1">
        <v>19.90005</v>
      </c>
      <c r="P123" s="1">
        <v>6602</v>
      </c>
      <c r="Q123" s="1">
        <v>82669</v>
      </c>
      <c r="R123" s="7">
        <v>3668</v>
      </c>
      <c r="S123" s="7">
        <v>25365</v>
      </c>
      <c r="T123" s="7">
        <f t="shared" si="4"/>
        <v>29033</v>
      </c>
      <c r="U123" s="7">
        <v>3982</v>
      </c>
      <c r="V123" s="7">
        <v>263</v>
      </c>
      <c r="W123" s="4" t="s">
        <v>144</v>
      </c>
      <c r="X123" s="4" t="s">
        <v>143</v>
      </c>
      <c r="Y123" s="7">
        <f>IF(X123="rub",R123,R123*'Курс доллара'!$F$5)</f>
        <v>3668</v>
      </c>
      <c r="Z123" s="7">
        <f>IF(X123="rub",S123,S123*'Курс доллара'!$F$5)</f>
        <v>25365</v>
      </c>
      <c r="AA123" s="7">
        <f>IF(X123="rub",T123,T123*'Курс доллара'!$F$5)</f>
        <v>29033</v>
      </c>
      <c r="AB123" s="7">
        <f>IF(X123="rub",U123,U123*'Курс доллара'!$C$5)</f>
        <v>3982</v>
      </c>
      <c r="AC123" s="7">
        <f>IF(X123="rub",V123,V123*'Курс доллара'!$F$5)</f>
        <v>263</v>
      </c>
      <c r="AD123" s="7" t="str">
        <f t="shared" si="5"/>
        <v>мсфо</v>
      </c>
      <c r="AE123" s="4" t="s">
        <v>143</v>
      </c>
    </row>
    <row r="124" spans="2:31" ht="12.75">
      <c r="B124" s="2" t="s">
        <v>30</v>
      </c>
      <c r="C124" s="1" t="s">
        <v>88</v>
      </c>
      <c r="D124" s="1">
        <v>2008</v>
      </c>
      <c r="E124" s="1">
        <v>7651000000</v>
      </c>
      <c r="F124" s="1" t="s">
        <v>122</v>
      </c>
      <c r="G124" s="1">
        <v>14455801000</v>
      </c>
      <c r="H124" s="1">
        <v>22899000000</v>
      </c>
      <c r="I124" s="1">
        <v>65243</v>
      </c>
      <c r="J124" s="1">
        <v>1439</v>
      </c>
      <c r="K124" s="1">
        <v>139907</v>
      </c>
      <c r="L124" s="1">
        <v>79272</v>
      </c>
      <c r="M124" s="1">
        <v>96069</v>
      </c>
      <c r="N124" s="17">
        <f t="shared" si="3"/>
        <v>0.2888661822585528</v>
      </c>
      <c r="O124" s="1">
        <v>18.77875</v>
      </c>
      <c r="P124" s="1">
        <v>26277</v>
      </c>
      <c r="Q124" s="1">
        <v>108714</v>
      </c>
      <c r="R124" s="7">
        <v>4478</v>
      </c>
      <c r="S124" s="7">
        <v>32120</v>
      </c>
      <c r="T124" s="7">
        <f t="shared" si="4"/>
        <v>36598</v>
      </c>
      <c r="U124" s="7">
        <v>10992</v>
      </c>
      <c r="V124" s="7">
        <v>222</v>
      </c>
      <c r="W124" s="4" t="s">
        <v>144</v>
      </c>
      <c r="X124" s="4" t="s">
        <v>143</v>
      </c>
      <c r="Y124" s="7">
        <f>IF(X124="rub",R124,R124*'Курс доллара'!$F$6)</f>
        <v>4478</v>
      </c>
      <c r="Z124" s="7">
        <f>IF(X124="rub",S124,S124*'Курс доллара'!$F$6)</f>
        <v>32120</v>
      </c>
      <c r="AA124" s="7">
        <f>IF(X124="rub",T124,T124*'Курс доллара'!$F$6)</f>
        <v>36598</v>
      </c>
      <c r="AB124" s="7">
        <f>IF(X124="rub",U124,U124*'Курс доллара'!$C$6)</f>
        <v>10992</v>
      </c>
      <c r="AC124" s="7">
        <f>IF(X124="rub",V124,V124*'Курс доллара'!$F$6)</f>
        <v>222</v>
      </c>
      <c r="AD124" s="7" t="str">
        <f t="shared" si="5"/>
        <v>мсфо</v>
      </c>
      <c r="AE124" s="4" t="s">
        <v>143</v>
      </c>
    </row>
    <row r="125" spans="2:31" ht="12.75">
      <c r="B125" s="2" t="s">
        <v>30</v>
      </c>
      <c r="C125" s="1" t="s">
        <v>88</v>
      </c>
      <c r="D125" s="1">
        <v>2009</v>
      </c>
      <c r="E125" s="1">
        <v>8350000000</v>
      </c>
      <c r="F125" s="1" t="s">
        <v>122</v>
      </c>
      <c r="G125" s="1">
        <v>19486612000</v>
      </c>
      <c r="H125" s="1">
        <v>26040000000</v>
      </c>
      <c r="I125" s="1">
        <v>83299</v>
      </c>
      <c r="J125" s="1">
        <v>20511</v>
      </c>
      <c r="K125" s="1">
        <v>193639</v>
      </c>
      <c r="L125" s="1">
        <v>89954</v>
      </c>
      <c r="M125" s="1">
        <v>114301</v>
      </c>
      <c r="N125" s="17">
        <f t="shared" si="3"/>
        <v>0.2894812904373346</v>
      </c>
      <c r="O125" s="1">
        <v>15.61584</v>
      </c>
      <c r="P125" s="1">
        <v>37703</v>
      </c>
      <c r="Q125" s="1">
        <v>161448</v>
      </c>
      <c r="R125" s="7">
        <v>5588</v>
      </c>
      <c r="S125" s="7">
        <v>33533</v>
      </c>
      <c r="T125" s="7">
        <f t="shared" si="4"/>
        <v>39121</v>
      </c>
      <c r="U125" s="7">
        <v>10532</v>
      </c>
      <c r="V125" s="7">
        <v>819</v>
      </c>
      <c r="W125" s="4" t="s">
        <v>144</v>
      </c>
      <c r="X125" s="4" t="s">
        <v>143</v>
      </c>
      <c r="Y125" s="7">
        <f>IF(X125="rub",R125,R125*'Курс доллара'!$F$7)</f>
        <v>5588</v>
      </c>
      <c r="Z125" s="7">
        <f>IF(X125="rub",S125,S125*'Курс доллара'!$F$7)</f>
        <v>33533</v>
      </c>
      <c r="AA125" s="7">
        <f>IF(X125="rub",T125,T125*'Курс доллара'!$F$7)</f>
        <v>39121</v>
      </c>
      <c r="AB125" s="7">
        <f>IF(X125="rub",U125,U125*'Курс доллара'!$C$7)</f>
        <v>10532</v>
      </c>
      <c r="AC125" s="7">
        <f>IF(X125="rub",V125,V125*'Курс доллара'!$F$7)</f>
        <v>819</v>
      </c>
      <c r="AD125" s="7" t="str">
        <f t="shared" si="5"/>
        <v>мсфо</v>
      </c>
      <c r="AE125" s="4" t="s">
        <v>143</v>
      </c>
    </row>
    <row r="126" spans="2:31" ht="12.75">
      <c r="B126" s="2" t="s">
        <v>30</v>
      </c>
      <c r="C126" s="1" t="s">
        <v>88</v>
      </c>
      <c r="D126" s="1">
        <v>2010</v>
      </c>
      <c r="E126" s="1">
        <v>9855000000</v>
      </c>
      <c r="F126" s="1"/>
      <c r="G126" s="1"/>
      <c r="H126" s="1">
        <v>40278000000</v>
      </c>
      <c r="I126" s="1">
        <v>110810</v>
      </c>
      <c r="J126" s="1"/>
      <c r="K126" s="1">
        <v>285173</v>
      </c>
      <c r="L126" s="1">
        <v>117024</v>
      </c>
      <c r="M126" s="1">
        <v>147119</v>
      </c>
      <c r="N126" s="17">
        <f t="shared" si="3"/>
        <v>0.34418580803937654</v>
      </c>
      <c r="O126" s="1"/>
      <c r="P126" s="1">
        <f>47074+25152</f>
        <v>72226</v>
      </c>
      <c r="Q126" s="1">
        <v>185573</v>
      </c>
      <c r="R126" s="7">
        <v>6616</v>
      </c>
      <c r="S126" s="7">
        <v>50231</v>
      </c>
      <c r="T126" s="7">
        <f t="shared" si="4"/>
        <v>56847</v>
      </c>
      <c r="U126" s="7">
        <v>10238</v>
      </c>
      <c r="V126" s="7">
        <v>437</v>
      </c>
      <c r="W126" s="4" t="s">
        <v>144</v>
      </c>
      <c r="X126" s="4" t="s">
        <v>143</v>
      </c>
      <c r="Y126" s="7">
        <f>IF(X126="rub",R126,R126*'Курс доллара'!$F$7)</f>
        <v>6616</v>
      </c>
      <c r="Z126" s="7">
        <f>IF(X126="rub",S126,S126*'Курс доллара'!$F$7)</f>
        <v>50231</v>
      </c>
      <c r="AA126" s="7">
        <f>IF(X126="rub",T126,T126*'Курс доллара'!$F$7)</f>
        <v>56847</v>
      </c>
      <c r="AB126" s="7">
        <f>IF(X126="rub",U126,U126*'Курс доллара'!$C$7)</f>
        <v>10238</v>
      </c>
      <c r="AC126" s="7">
        <f>IF(X126="rub",V126,V126*'Курс доллара'!$F$7)</f>
        <v>437</v>
      </c>
      <c r="AD126" s="7" t="str">
        <f>W126</f>
        <v>мсфо</v>
      </c>
      <c r="AE126" s="4" t="s">
        <v>143</v>
      </c>
    </row>
    <row r="127" spans="1:31" ht="12.75">
      <c r="A127">
        <v>32</v>
      </c>
      <c r="B127" s="2" t="s">
        <v>31</v>
      </c>
      <c r="C127" s="1" t="s">
        <v>89</v>
      </c>
      <c r="D127" s="1">
        <v>2007</v>
      </c>
      <c r="E127" s="1">
        <v>492000000</v>
      </c>
      <c r="F127" s="1" t="s">
        <v>122</v>
      </c>
      <c r="G127" s="1">
        <v>1874000000</v>
      </c>
      <c r="H127" s="1">
        <v>1546603000</v>
      </c>
      <c r="I127" s="1">
        <v>-2770.05</v>
      </c>
      <c r="J127" s="1" t="s">
        <v>122</v>
      </c>
      <c r="K127" s="1">
        <v>43776.39</v>
      </c>
      <c r="L127" s="1">
        <v>35333.82</v>
      </c>
      <c r="M127" s="1">
        <v>34886.88</v>
      </c>
      <c r="N127" s="17">
        <f t="shared" si="3"/>
        <v>0.04377118013280194</v>
      </c>
      <c r="O127" s="1" t="s">
        <v>122</v>
      </c>
      <c r="P127" s="1">
        <v>5069.301</v>
      </c>
      <c r="Q127" s="1">
        <v>26794.12</v>
      </c>
      <c r="R127" s="7">
        <v>2792.664</v>
      </c>
      <c r="S127" s="7">
        <v>2901.189</v>
      </c>
      <c r="T127" s="7">
        <f t="shared" si="4"/>
        <v>5693.853</v>
      </c>
      <c r="U127" s="7">
        <v>648.427</v>
      </c>
      <c r="V127" s="7">
        <v>606.935</v>
      </c>
      <c r="W127" s="4" t="s">
        <v>144</v>
      </c>
      <c r="X127" s="4" t="s">
        <v>143</v>
      </c>
      <c r="Y127" s="7">
        <f>IF(X127="rub",R127,R127*'Курс доллара'!$F$5)</f>
        <v>2792.664</v>
      </c>
      <c r="Z127" s="7">
        <f>IF(X127="rub",S127,S127*'Курс доллара'!$F$5)</f>
        <v>2901.189</v>
      </c>
      <c r="AA127" s="7">
        <f>IF(X127="rub",T127,T127*'Курс доллара'!$F$5)</f>
        <v>5693.853</v>
      </c>
      <c r="AB127" s="7">
        <f>IF(X127="rub",U127,U127*'Курс доллара'!$C$5)</f>
        <v>648.427</v>
      </c>
      <c r="AC127" s="7">
        <f>IF(X127="rub",V127,V127*'Курс доллара'!$F$5)</f>
        <v>606.935</v>
      </c>
      <c r="AD127" s="7" t="str">
        <f t="shared" si="5"/>
        <v>мсфо</v>
      </c>
      <c r="AE127" s="4" t="s">
        <v>143</v>
      </c>
    </row>
    <row r="128" spans="2:31" ht="12.75">
      <c r="B128" s="2" t="s">
        <v>31</v>
      </c>
      <c r="C128" s="1" t="s">
        <v>89</v>
      </c>
      <c r="D128" s="1">
        <v>2008</v>
      </c>
      <c r="E128" s="1">
        <v>325000000</v>
      </c>
      <c r="F128" s="1" t="s">
        <v>122</v>
      </c>
      <c r="G128" s="1">
        <v>805000000</v>
      </c>
      <c r="H128" s="1">
        <v>-829403000</v>
      </c>
      <c r="I128" s="1">
        <v>-2189.235</v>
      </c>
      <c r="J128" s="1" t="s">
        <v>122</v>
      </c>
      <c r="K128" s="1">
        <v>44162.79</v>
      </c>
      <c r="L128" s="1">
        <v>42275.05</v>
      </c>
      <c r="M128" s="1">
        <v>35478.42</v>
      </c>
      <c r="N128" s="17">
        <f t="shared" si="3"/>
        <v>-0.01961920801986041</v>
      </c>
      <c r="O128" s="1">
        <v>1.830706</v>
      </c>
      <c r="P128" s="1">
        <v>2964.976</v>
      </c>
      <c r="Q128" s="1">
        <v>21314.31</v>
      </c>
      <c r="R128" s="7">
        <v>2812.159</v>
      </c>
      <c r="S128" s="7">
        <v>-2568.439</v>
      </c>
      <c r="T128" s="7">
        <f t="shared" si="4"/>
        <v>243.72000000000025</v>
      </c>
      <c r="U128" s="7">
        <v>215.014</v>
      </c>
      <c r="V128" s="7">
        <v>357.907</v>
      </c>
      <c r="W128" s="4" t="s">
        <v>144</v>
      </c>
      <c r="X128" s="4" t="s">
        <v>143</v>
      </c>
      <c r="Y128" s="7">
        <f>IF(X128="rub",R128,R128*'Курс доллара'!$F$6)</f>
        <v>2812.159</v>
      </c>
      <c r="Z128" s="7">
        <f>IF(X128="rub",S128,S128*'Курс доллара'!$F$6)</f>
        <v>-2568.439</v>
      </c>
      <c r="AA128" s="7">
        <f>IF(X128="rub",T128,T128*'Курс доллара'!$F$6)</f>
        <v>243.72000000000025</v>
      </c>
      <c r="AB128" s="7">
        <f>IF(X128="rub",U128,U128*'Курс доллара'!$C$6)</f>
        <v>215.014</v>
      </c>
      <c r="AC128" s="7">
        <f>IF(X128="rub",V128,V128*'Курс доллара'!$F$6)</f>
        <v>357.907</v>
      </c>
      <c r="AD128" s="7" t="str">
        <f t="shared" si="5"/>
        <v>мсфо</v>
      </c>
      <c r="AE128" s="4" t="s">
        <v>143</v>
      </c>
    </row>
    <row r="129" spans="2:31" ht="12.75">
      <c r="B129" s="2" t="s">
        <v>31</v>
      </c>
      <c r="C129" s="1" t="s">
        <v>89</v>
      </c>
      <c r="D129" s="1">
        <v>2009</v>
      </c>
      <c r="E129" s="1" t="s">
        <v>122</v>
      </c>
      <c r="F129" s="1" t="s">
        <v>122</v>
      </c>
      <c r="G129" s="1">
        <v>2813000000</v>
      </c>
      <c r="H129" s="1">
        <v>2442258000</v>
      </c>
      <c r="I129" s="1">
        <v>634.135</v>
      </c>
      <c r="J129" s="1" t="s">
        <v>122</v>
      </c>
      <c r="K129" s="1">
        <v>48748.14</v>
      </c>
      <c r="L129" s="1">
        <v>41870.32</v>
      </c>
      <c r="M129" s="1">
        <v>38301.75</v>
      </c>
      <c r="N129" s="17">
        <f t="shared" si="3"/>
        <v>0.058329098034120584</v>
      </c>
      <c r="O129" s="1">
        <v>6.055475</v>
      </c>
      <c r="P129" s="1">
        <v>4990.798</v>
      </c>
      <c r="Q129" s="1">
        <v>32751.22</v>
      </c>
      <c r="R129" s="7">
        <v>1866.892</v>
      </c>
      <c r="S129" s="7">
        <v>3432.005</v>
      </c>
      <c r="T129" s="7">
        <f t="shared" si="4"/>
        <v>5298.897</v>
      </c>
      <c r="U129" s="7">
        <v>1197.075</v>
      </c>
      <c r="V129" s="7">
        <v>310.45</v>
      </c>
      <c r="W129" s="4" t="s">
        <v>144</v>
      </c>
      <c r="X129" s="4" t="s">
        <v>143</v>
      </c>
      <c r="Y129" s="7">
        <f>IF(X129="rub",R129,R129*'Курс доллара'!$F$7)</f>
        <v>1866.892</v>
      </c>
      <c r="Z129" s="7">
        <f>IF(X129="rub",S129,S129*'Курс доллара'!$F$7)</f>
        <v>3432.005</v>
      </c>
      <c r="AA129" s="7">
        <f>IF(X129="rub",T129,T129*'Курс доллара'!$F$7)</f>
        <v>5298.897</v>
      </c>
      <c r="AB129" s="7">
        <f>IF(X129="rub",U129,U129*'Курс доллара'!$C$7)</f>
        <v>1197.075</v>
      </c>
      <c r="AC129" s="7">
        <f>IF(X129="rub",V129,V129*'Курс доллара'!$F$7)</f>
        <v>310.45</v>
      </c>
      <c r="AD129" s="7" t="str">
        <f t="shared" si="5"/>
        <v>мсфо</v>
      </c>
      <c r="AE129" s="4" t="s">
        <v>143</v>
      </c>
    </row>
    <row r="130" spans="2:31" ht="12.75">
      <c r="B130" s="2" t="s">
        <v>31</v>
      </c>
      <c r="C130" s="1" t="s">
        <v>89</v>
      </c>
      <c r="D130" s="1">
        <v>2010</v>
      </c>
      <c r="E130" s="1"/>
      <c r="F130" s="1"/>
      <c r="G130" s="1"/>
      <c r="H130" s="1"/>
      <c r="I130" s="1"/>
      <c r="J130" s="1"/>
      <c r="K130" s="16"/>
      <c r="L130" s="1"/>
      <c r="M130" s="1"/>
      <c r="N130" s="17"/>
      <c r="O130" s="1"/>
      <c r="P130" s="1"/>
      <c r="Q130" s="1"/>
      <c r="R130" s="7"/>
      <c r="S130" s="7"/>
      <c r="T130" s="7"/>
      <c r="U130" s="7"/>
      <c r="V130" s="7"/>
      <c r="W130" s="4"/>
      <c r="X130" s="4"/>
      <c r="Y130" s="7"/>
      <c r="Z130" s="7"/>
      <c r="AA130" s="7"/>
      <c r="AB130" s="7"/>
      <c r="AC130" s="7"/>
      <c r="AD130" s="7"/>
      <c r="AE130" s="4"/>
    </row>
    <row r="131" spans="1:31" ht="12.75">
      <c r="A131">
        <v>33</v>
      </c>
      <c r="B131" s="2" t="s">
        <v>32</v>
      </c>
      <c r="C131" s="1" t="s">
        <v>90</v>
      </c>
      <c r="D131" s="1">
        <v>2007</v>
      </c>
      <c r="E131" s="1">
        <v>39673886</v>
      </c>
      <c r="F131" s="1">
        <v>12439257</v>
      </c>
      <c r="G131" s="1">
        <v>52113130</v>
      </c>
      <c r="H131" s="1" t="s">
        <v>122</v>
      </c>
      <c r="I131" s="1">
        <v>192.702</v>
      </c>
      <c r="J131" s="1" t="s">
        <v>122</v>
      </c>
      <c r="K131" s="1">
        <v>1633.154</v>
      </c>
      <c r="L131" s="1">
        <v>24302.68</v>
      </c>
      <c r="M131" s="1">
        <v>536.3101</v>
      </c>
      <c r="N131" s="17">
        <f>G131/L131/1000000</f>
        <v>0.0021443367562754396</v>
      </c>
      <c r="O131" s="1">
        <v>1.000511</v>
      </c>
      <c r="P131" s="1">
        <v>397.068</v>
      </c>
      <c r="Q131" s="1">
        <v>475.617</v>
      </c>
      <c r="R131" s="7">
        <v>20.68</v>
      </c>
      <c r="S131" s="7">
        <v>219.149</v>
      </c>
      <c r="T131" s="7">
        <f t="shared" si="4"/>
        <v>239.829</v>
      </c>
      <c r="U131" s="7">
        <v>75.196</v>
      </c>
      <c r="V131" s="7">
        <v>39.656</v>
      </c>
      <c r="W131" s="4" t="s">
        <v>139</v>
      </c>
      <c r="X131" s="4" t="s">
        <v>143</v>
      </c>
      <c r="Y131" s="7">
        <f>IF(X131="rub",R131,R131*'Курс доллара'!$F$5)</f>
        <v>20.68</v>
      </c>
      <c r="Z131" s="7">
        <f>IF(X131="rub",S131,S131*'Курс доллара'!$F$5)</f>
        <v>219.149</v>
      </c>
      <c r="AA131" s="7">
        <f>IF(X131="rub",T131,T131*'Курс доллара'!$F$5)</f>
        <v>239.829</v>
      </c>
      <c r="AB131" s="7">
        <f>IF(X131="rub",U131,U131*'Курс доллара'!$C$5)</f>
        <v>75.196</v>
      </c>
      <c r="AC131" s="7">
        <f>IF(X131="rub",V131,V131*'Курс доллара'!$F$5)</f>
        <v>39.656</v>
      </c>
      <c r="AD131" s="7" t="str">
        <f t="shared" si="5"/>
        <v>рсбу</v>
      </c>
      <c r="AE131" s="4" t="s">
        <v>143</v>
      </c>
    </row>
    <row r="132" spans="2:31" ht="12.75">
      <c r="B132" s="2" t="s">
        <v>32</v>
      </c>
      <c r="C132" s="1" t="s">
        <v>90</v>
      </c>
      <c r="D132" s="1">
        <v>2008</v>
      </c>
      <c r="E132" s="1">
        <v>197938739</v>
      </c>
      <c r="F132" s="1">
        <v>62061250</v>
      </c>
      <c r="G132" s="1">
        <v>300909495</v>
      </c>
      <c r="H132" s="1" t="s">
        <v>122</v>
      </c>
      <c r="I132" s="1">
        <v>345.96799999999996</v>
      </c>
      <c r="J132" s="1" t="s">
        <v>122</v>
      </c>
      <c r="K132" s="1">
        <v>1973.999</v>
      </c>
      <c r="L132" s="1">
        <v>24713.34</v>
      </c>
      <c r="M132" s="1">
        <v>682.9161</v>
      </c>
      <c r="N132" s="17">
        <f>G132/L132/1000000</f>
        <v>0.01217599462476541</v>
      </c>
      <c r="O132" s="1">
        <v>16.68402</v>
      </c>
      <c r="P132" s="1">
        <v>250.575</v>
      </c>
      <c r="Q132" s="1">
        <v>499.223</v>
      </c>
      <c r="R132" s="7">
        <v>20.198</v>
      </c>
      <c r="S132" s="7">
        <v>966.8</v>
      </c>
      <c r="T132" s="7">
        <f t="shared" si="4"/>
        <v>986.9979999999999</v>
      </c>
      <c r="U132" s="7">
        <v>236.459</v>
      </c>
      <c r="V132" s="7">
        <v>36.577</v>
      </c>
      <c r="W132" s="4" t="s">
        <v>139</v>
      </c>
      <c r="X132" s="4" t="s">
        <v>143</v>
      </c>
      <c r="Y132" s="7">
        <f>IF(X132="rub",R132,R132*'Курс доллара'!$F$6)</f>
        <v>20.198</v>
      </c>
      <c r="Z132" s="7">
        <f>IF(X132="rub",S132,S132*'Курс доллара'!$F$6)</f>
        <v>966.8</v>
      </c>
      <c r="AA132" s="7">
        <f>IF(X132="rub",T132,T132*'Курс доллара'!$F$6)</f>
        <v>986.9979999999999</v>
      </c>
      <c r="AB132" s="7">
        <f>IF(X132="rub",U132,U132*'Курс доллара'!$C$6)</f>
        <v>236.459</v>
      </c>
      <c r="AC132" s="7">
        <f>IF(X132="rub",V132,V132*'Курс доллара'!$F$6)</f>
        <v>36.577</v>
      </c>
      <c r="AD132" s="7" t="str">
        <f t="shared" si="5"/>
        <v>рсбу</v>
      </c>
      <c r="AE132" s="4" t="s">
        <v>143</v>
      </c>
    </row>
    <row r="133" spans="2:31" ht="12.75">
      <c r="B133" s="2" t="s">
        <v>32</v>
      </c>
      <c r="C133" s="1" t="s">
        <v>90</v>
      </c>
      <c r="D133" s="1">
        <v>2009</v>
      </c>
      <c r="E133" s="1">
        <v>213164796</v>
      </c>
      <c r="F133" s="1">
        <v>66835193</v>
      </c>
      <c r="G133" s="1">
        <v>253650579</v>
      </c>
      <c r="H133" s="1" t="s">
        <v>122</v>
      </c>
      <c r="I133" s="1">
        <v>425.675</v>
      </c>
      <c r="J133" s="1" t="s">
        <v>122</v>
      </c>
      <c r="K133" s="1">
        <v>2589.92</v>
      </c>
      <c r="L133" s="1">
        <v>26249.5</v>
      </c>
      <c r="M133" s="1">
        <v>776.5841</v>
      </c>
      <c r="N133" s="17">
        <f>G133/L133/1000000</f>
        <v>0.009663063258347778</v>
      </c>
      <c r="O133" s="1">
        <v>11.11549</v>
      </c>
      <c r="P133" s="1">
        <v>298.387</v>
      </c>
      <c r="Q133" s="1">
        <v>545.3</v>
      </c>
      <c r="R133" s="7">
        <v>20.836</v>
      </c>
      <c r="S133" s="7">
        <v>750.524</v>
      </c>
      <c r="T133" s="7">
        <f t="shared" si="4"/>
        <v>771.36</v>
      </c>
      <c r="U133" s="7">
        <v>87.629</v>
      </c>
      <c r="V133" s="7">
        <v>129.024</v>
      </c>
      <c r="W133" s="4" t="s">
        <v>139</v>
      </c>
      <c r="X133" s="4" t="s">
        <v>143</v>
      </c>
      <c r="Y133" s="7">
        <f>IF(X133="rub",R133,R133*'Курс доллара'!$F$7)</f>
        <v>20.836</v>
      </c>
      <c r="Z133" s="7">
        <f>IF(X133="rub",S133,S133*'Курс доллара'!$F$7)</f>
        <v>750.524</v>
      </c>
      <c r="AA133" s="7">
        <f>IF(X133="rub",T133,T133*'Курс доллара'!$F$7)</f>
        <v>771.36</v>
      </c>
      <c r="AB133" s="7">
        <f>IF(X133="rub",U133,U133*'Курс доллара'!$C$7)</f>
        <v>87.629</v>
      </c>
      <c r="AC133" s="7">
        <f>IF(X133="rub",V133,V133*'Курс доллара'!$F$7)</f>
        <v>129.024</v>
      </c>
      <c r="AD133" s="7" t="str">
        <f t="shared" si="5"/>
        <v>рсбу</v>
      </c>
      <c r="AE133" s="4" t="s">
        <v>143</v>
      </c>
    </row>
    <row r="134" spans="2:31" ht="12.75">
      <c r="B134" s="2" t="s">
        <v>32</v>
      </c>
      <c r="C134" s="1" t="s">
        <v>90</v>
      </c>
      <c r="D134" s="1">
        <v>2010</v>
      </c>
      <c r="E134" s="1">
        <v>560000000</v>
      </c>
      <c r="F134" s="1"/>
      <c r="G134" s="1">
        <v>470740000</v>
      </c>
      <c r="H134" s="1"/>
      <c r="I134" s="1">
        <v>333.209</v>
      </c>
      <c r="J134" s="1"/>
      <c r="K134" s="1">
        <v>2962.024</v>
      </c>
      <c r="L134" s="1">
        <v>29411.329</v>
      </c>
      <c r="M134" s="1">
        <v>728.603</v>
      </c>
      <c r="N134" s="17">
        <f>G134/L134/1000000</f>
        <v>0.016005397103952698</v>
      </c>
      <c r="O134" s="1"/>
      <c r="P134" s="1">
        <v>0.025</v>
      </c>
      <c r="Q134" s="1">
        <f>492.261+10.547</f>
        <v>502.80800000000005</v>
      </c>
      <c r="R134" s="7">
        <v>24.158</v>
      </c>
      <c r="S134" s="7">
        <v>1147.702</v>
      </c>
      <c r="T134" s="7">
        <f t="shared" si="4"/>
        <v>1171.86</v>
      </c>
      <c r="U134" s="7">
        <v>135.806</v>
      </c>
      <c r="V134" s="7">
        <v>34.298</v>
      </c>
      <c r="W134" s="4" t="s">
        <v>139</v>
      </c>
      <c r="X134" s="4" t="s">
        <v>143</v>
      </c>
      <c r="Y134" s="7">
        <f>IF(X134="rub",R134,R134*'Курс доллара'!$F$7)</f>
        <v>24.158</v>
      </c>
      <c r="Z134" s="7">
        <f>IF(X134="rub",S134,S134*'Курс доллара'!$F$7)</f>
        <v>1147.702</v>
      </c>
      <c r="AA134" s="7">
        <f>IF(X134="rub",T134,T134*'Курс доллара'!$F$7)</f>
        <v>1171.86</v>
      </c>
      <c r="AB134" s="7">
        <f>IF(X134="rub",U134,U134*'Курс доллара'!$C$7)</f>
        <v>135.806</v>
      </c>
      <c r="AC134" s="7">
        <f>IF(X134="rub",V134,V134*'Курс доллара'!$F$7)</f>
        <v>34.298</v>
      </c>
      <c r="AD134" s="7" t="str">
        <f>W134</f>
        <v>рсбу</v>
      </c>
      <c r="AE134" s="4" t="s">
        <v>143</v>
      </c>
    </row>
    <row r="135" spans="1:31" ht="12.75">
      <c r="A135">
        <v>34</v>
      </c>
      <c r="B135" s="2" t="s">
        <v>33</v>
      </c>
      <c r="C135" s="1" t="s">
        <v>91</v>
      </c>
      <c r="D135" s="1">
        <v>2007</v>
      </c>
      <c r="E135" s="1">
        <v>562351853</v>
      </c>
      <c r="F135" s="1" t="s">
        <v>122</v>
      </c>
      <c r="G135" s="1">
        <v>563032000</v>
      </c>
      <c r="H135" s="1">
        <v>2106284875.8</v>
      </c>
      <c r="I135" s="1">
        <v>28009</v>
      </c>
      <c r="J135" s="1">
        <v>-2850.173</v>
      </c>
      <c r="K135" s="1">
        <v>92977.05</v>
      </c>
      <c r="L135" s="1">
        <v>22173.33</v>
      </c>
      <c r="M135" s="1">
        <v>80369.46</v>
      </c>
      <c r="N135" s="17">
        <f aca="true" t="shared" si="6" ref="N135:N195">H135/L135/1000000</f>
        <v>0.09499181565421161</v>
      </c>
      <c r="O135" s="1">
        <v>2.313706</v>
      </c>
      <c r="P135" s="1">
        <v>515.1936</v>
      </c>
      <c r="Q135" s="1">
        <v>43996.31</v>
      </c>
      <c r="R135" s="7">
        <v>105.235</v>
      </c>
      <c r="S135" s="7">
        <f>392.037-261.776-6.217-10.329</f>
        <v>113.71499999999997</v>
      </c>
      <c r="T135" s="7">
        <f t="shared" si="4"/>
        <v>218.95</v>
      </c>
      <c r="U135" s="7">
        <v>226.174</v>
      </c>
      <c r="V135" s="7">
        <v>2.654</v>
      </c>
      <c r="W135" s="4" t="s">
        <v>144</v>
      </c>
      <c r="X135" s="4" t="s">
        <v>142</v>
      </c>
      <c r="Y135" s="7">
        <f>IF(X135="rub",R135,R135*'Курс доллара'!$F$5)</f>
        <v>2677.03633275</v>
      </c>
      <c r="Z135" s="7">
        <f>IF(X135="rub",S135,S135*'Курс доллара'!$F$5)</f>
        <v>2892.7560847499994</v>
      </c>
      <c r="AA135" s="7">
        <f>IF(X135="rub",T135,T135*'Курс доллара'!$F$5)</f>
        <v>5569.7924175</v>
      </c>
      <c r="AB135" s="7">
        <f>IF(X135="rub",U135,U135*'Курс доллара'!$C$5)</f>
        <v>5551.7122388</v>
      </c>
      <c r="AC135" s="7">
        <f>IF(X135="rub",V135,V135*'Курс доллара'!$F$5)</f>
        <v>67.5141771</v>
      </c>
      <c r="AD135" s="7" t="str">
        <f t="shared" si="5"/>
        <v>мсфо</v>
      </c>
      <c r="AE135" s="4" t="s">
        <v>143</v>
      </c>
    </row>
    <row r="136" spans="2:31" ht="12.75">
      <c r="B136" s="2" t="s">
        <v>33</v>
      </c>
      <c r="C136" s="1" t="s">
        <v>91</v>
      </c>
      <c r="D136" s="1">
        <v>2008</v>
      </c>
      <c r="E136" s="1" t="s">
        <v>122</v>
      </c>
      <c r="F136" s="1" t="s">
        <v>122</v>
      </c>
      <c r="G136" s="1">
        <v>-3711422000</v>
      </c>
      <c r="H136" s="1">
        <v>1513296262.8000002</v>
      </c>
      <c r="I136" s="1">
        <v>18618.06</v>
      </c>
      <c r="J136" s="1">
        <v>-6103.519</v>
      </c>
      <c r="K136" s="1">
        <v>90527.16</v>
      </c>
      <c r="L136" s="1">
        <v>27054.05</v>
      </c>
      <c r="M136" s="1">
        <v>81055.67</v>
      </c>
      <c r="N136" s="17">
        <f t="shared" si="6"/>
        <v>0.055936034079925194</v>
      </c>
      <c r="O136" s="1">
        <v>1.503347</v>
      </c>
      <c r="P136" s="1">
        <v>0</v>
      </c>
      <c r="Q136" s="1">
        <v>52231.55</v>
      </c>
      <c r="R136" s="7">
        <v>121.712</v>
      </c>
      <c r="S136" s="7">
        <f>504.139-134.96-4.959-17.056</f>
        <v>347.164</v>
      </c>
      <c r="T136" s="7">
        <f t="shared" si="4"/>
        <v>468.876</v>
      </c>
      <c r="U136" s="7">
        <v>398.826</v>
      </c>
      <c r="V136" s="7">
        <v>0.088</v>
      </c>
      <c r="W136" s="4" t="s">
        <v>144</v>
      </c>
      <c r="X136" s="4" t="s">
        <v>142</v>
      </c>
      <c r="Y136" s="7">
        <f>IF(X136="rub",R136,R136*'Курс доллара'!$F$6)</f>
        <v>3281.7571696</v>
      </c>
      <c r="Z136" s="7">
        <f>IF(X136="rub",S136,S136*'Курс доллара'!$F$6)</f>
        <v>9360.6870812</v>
      </c>
      <c r="AA136" s="7">
        <f>IF(X136="rub",T136,T136*'Курс доллара'!$F$6)</f>
        <v>12642.4442508</v>
      </c>
      <c r="AB136" s="7">
        <f>IF(X136="rub",U136,U136*'Курс доллара'!$C$6)</f>
        <v>11717.667410400001</v>
      </c>
      <c r="AC136" s="7">
        <f>IF(X136="rub",V136,V136*'Курс доллара'!$F$6)</f>
        <v>2.3727704</v>
      </c>
      <c r="AD136" s="7" t="str">
        <f t="shared" si="5"/>
        <v>мсфо</v>
      </c>
      <c r="AE136" s="4" t="s">
        <v>143</v>
      </c>
    </row>
    <row r="137" spans="2:31" ht="12.75">
      <c r="B137" s="2" t="s">
        <v>33</v>
      </c>
      <c r="C137" s="1" t="s">
        <v>91</v>
      </c>
      <c r="D137" s="1">
        <v>2009</v>
      </c>
      <c r="E137" s="1">
        <v>3017637234</v>
      </c>
      <c r="F137" s="1" t="s">
        <v>122</v>
      </c>
      <c r="G137" s="1">
        <v>3358924000</v>
      </c>
      <c r="H137" s="1">
        <v>5582413947.599999</v>
      </c>
      <c r="I137" s="1">
        <v>29662.66</v>
      </c>
      <c r="J137" s="1">
        <v>1705.867</v>
      </c>
      <c r="K137" s="1">
        <v>113859</v>
      </c>
      <c r="L137" s="1">
        <v>38900.2</v>
      </c>
      <c r="M137" s="1">
        <v>92390.66</v>
      </c>
      <c r="N137" s="17">
        <f t="shared" si="6"/>
        <v>0.14350604746505158</v>
      </c>
      <c r="O137" s="1">
        <v>9.362915</v>
      </c>
      <c r="P137" s="1">
        <v>6001.924</v>
      </c>
      <c r="Q137" s="1">
        <v>72500.38</v>
      </c>
      <c r="R137" s="7">
        <v>128.381</v>
      </c>
      <c r="S137" s="7">
        <f>624.561-155.012-1.265-32.955</f>
        <v>435.32900000000006</v>
      </c>
      <c r="T137" s="7">
        <f t="shared" si="4"/>
        <v>563.71</v>
      </c>
      <c r="U137" s="7">
        <v>173.36</v>
      </c>
      <c r="V137" s="7">
        <v>11.738</v>
      </c>
      <c r="W137" s="4" t="s">
        <v>144</v>
      </c>
      <c r="X137" s="4" t="s">
        <v>142</v>
      </c>
      <c r="Y137" s="7">
        <f>IF(X137="rub",R137,R137*'Курс доллара'!$F$7)</f>
        <v>3827.3328863</v>
      </c>
      <c r="Z137" s="7">
        <f>IF(X137="rub",S137,S137*'Курс доллара'!$F$7)</f>
        <v>12978.158746700003</v>
      </c>
      <c r="AA137" s="7">
        <f>IF(X137="rub",T137,T137*'Курс доллара'!$F$7)</f>
        <v>16805.491633</v>
      </c>
      <c r="AB137" s="7">
        <f>IF(X137="rub",U137,U137*'Курс доллара'!$C$7)</f>
        <v>5243.1345120000005</v>
      </c>
      <c r="AC137" s="7">
        <f>IF(X137="rub",V137,V137*'Курс доллара'!$F$7)</f>
        <v>349.9367774</v>
      </c>
      <c r="AD137" s="7" t="str">
        <f t="shared" si="5"/>
        <v>мсфо</v>
      </c>
      <c r="AE137" s="4" t="s">
        <v>143</v>
      </c>
    </row>
    <row r="138" spans="2:31" ht="12.75">
      <c r="B138" s="2" t="s">
        <v>33</v>
      </c>
      <c r="C138" s="1" t="s">
        <v>91</v>
      </c>
      <c r="D138" s="1">
        <v>2010</v>
      </c>
      <c r="E138" s="1">
        <f>104343000*'Курс доллара'!F8</f>
        <v>3167910868.65</v>
      </c>
      <c r="F138" s="1"/>
      <c r="G138" s="1"/>
      <c r="H138" s="1">
        <f>356497000*'Курс доллара'!F8</f>
        <v>10823444993.35</v>
      </c>
      <c r="I138" s="1">
        <f>1810.641*'Курс доллара'!C8</f>
        <v>55182.7246929</v>
      </c>
      <c r="J138" s="1"/>
      <c r="K138" s="1">
        <f>4004.174*'Курс доллара'!C8</f>
        <v>122034.8105806</v>
      </c>
      <c r="L138" s="1">
        <f>1748.804*'Курс доллара'!F8</f>
        <v>53094.6512822</v>
      </c>
      <c r="M138" s="1">
        <f>3183.645*'Курс доллара'!C8</f>
        <v>97027.63030050001</v>
      </c>
      <c r="N138" s="17">
        <f t="shared" si="6"/>
        <v>0.20385188963428721</v>
      </c>
      <c r="O138" s="1"/>
      <c r="P138" s="1">
        <f>(29.686+173.762)*'Курс доллара'!C8</f>
        <v>6200.4643512</v>
      </c>
      <c r="Q138" s="1">
        <f>(2500.952+201.03)*'Курс доллара'!C8</f>
        <v>82348.03521580002</v>
      </c>
      <c r="R138" s="7">
        <f>148.329</f>
        <v>148.329</v>
      </c>
      <c r="S138" s="7">
        <v>547</v>
      </c>
      <c r="T138" s="7">
        <f t="shared" si="4"/>
        <v>695.329</v>
      </c>
      <c r="U138" s="7">
        <v>326.905</v>
      </c>
      <c r="V138" s="7">
        <v>32.308</v>
      </c>
      <c r="W138" s="4" t="s">
        <v>144</v>
      </c>
      <c r="X138" s="4" t="s">
        <v>142</v>
      </c>
      <c r="Y138" s="7">
        <f>IF(X138="rub",R138,R138*'Курс доллара'!$F$8)</f>
        <v>4503.35002095</v>
      </c>
      <c r="Z138" s="7">
        <f>IF(X138="rub",S138,S138*'Курс доллара'!$F$8)</f>
        <v>16607.22085</v>
      </c>
      <c r="AA138" s="7">
        <f>IF(X138="rub",T138,T138*'Курс доллара'!$F$8)</f>
        <v>21110.57087095</v>
      </c>
      <c r="AB138" s="7">
        <f>IF(X138="rub",U138,U138*'Курс доллара'!$C$8)</f>
        <v>9963.0509945</v>
      </c>
      <c r="AC138" s="7">
        <f>IF(X138="rub",V138,V138*'Курс доллара'!$F$8)</f>
        <v>980.8886494</v>
      </c>
      <c r="AD138" s="7" t="str">
        <f>W138</f>
        <v>мсфо</v>
      </c>
      <c r="AE138" s="4" t="s">
        <v>143</v>
      </c>
    </row>
    <row r="139" spans="1:31" ht="12.75">
      <c r="A139">
        <v>35</v>
      </c>
      <c r="B139" s="2" t="s">
        <v>34</v>
      </c>
      <c r="C139" s="1" t="s">
        <v>92</v>
      </c>
      <c r="D139" s="1">
        <v>2007</v>
      </c>
      <c r="E139" s="1">
        <v>3904000000</v>
      </c>
      <c r="F139" s="1" t="s">
        <v>122</v>
      </c>
      <c r="G139" s="1">
        <v>7218972000</v>
      </c>
      <c r="H139" s="1">
        <v>6110000000</v>
      </c>
      <c r="I139" s="1">
        <v>6899.464</v>
      </c>
      <c r="J139" s="1">
        <v>4134.821</v>
      </c>
      <c r="K139" s="1">
        <v>42521.54</v>
      </c>
      <c r="L139" s="1">
        <v>20050.27</v>
      </c>
      <c r="M139" s="1">
        <v>26221.13</v>
      </c>
      <c r="N139" s="17">
        <f t="shared" si="6"/>
        <v>0.30473405096290473</v>
      </c>
      <c r="O139" s="1">
        <v>14.81645</v>
      </c>
      <c r="P139" s="1">
        <v>8558.733</v>
      </c>
      <c r="Q139" s="1">
        <v>36447.37</v>
      </c>
      <c r="R139" s="7">
        <v>138.483</v>
      </c>
      <c r="S139" s="7">
        <v>355.38</v>
      </c>
      <c r="T139" s="7">
        <f t="shared" si="4"/>
        <v>493.863</v>
      </c>
      <c r="U139" s="7">
        <v>82.311</v>
      </c>
      <c r="V139" s="7">
        <v>30.235</v>
      </c>
      <c r="W139" s="4" t="s">
        <v>144</v>
      </c>
      <c r="X139" s="4" t="s">
        <v>142</v>
      </c>
      <c r="Y139" s="7">
        <f>IF(X139="rub",R139,R139*'Курс доллара'!$F$5)</f>
        <v>3522.82056795</v>
      </c>
      <c r="Z139" s="7">
        <f>IF(X139="rub",S139,S139*'Курс доллара'!$F$5)</f>
        <v>9040.387437</v>
      </c>
      <c r="AA139" s="7">
        <f>IF(X139="rub",T139,T139*'Курс доллара'!$F$5)</f>
        <v>12563.20800495</v>
      </c>
      <c r="AB139" s="7">
        <f>IF(X139="rub",U139,U139*'Курс доллара'!$C$5)</f>
        <v>2020.4222682000002</v>
      </c>
      <c r="AC139" s="7">
        <f>IF(X139="rub",V139,V139*'Курс доллара'!$F$5)</f>
        <v>769.13758275</v>
      </c>
      <c r="AD139" s="7" t="str">
        <f t="shared" si="5"/>
        <v>мсфо</v>
      </c>
      <c r="AE139" s="4" t="s">
        <v>143</v>
      </c>
    </row>
    <row r="140" spans="2:31" ht="12.75">
      <c r="B140" s="2" t="s">
        <v>34</v>
      </c>
      <c r="C140" s="1" t="s">
        <v>92</v>
      </c>
      <c r="D140" s="1">
        <v>2008</v>
      </c>
      <c r="E140" s="1">
        <v>1171000000</v>
      </c>
      <c r="F140" s="1" t="s">
        <v>122</v>
      </c>
      <c r="G140" s="1">
        <v>9266218000</v>
      </c>
      <c r="H140" s="1">
        <v>13211000000</v>
      </c>
      <c r="I140" s="1">
        <v>11614.31</v>
      </c>
      <c r="J140" s="1">
        <v>7456.522</v>
      </c>
      <c r="K140" s="1">
        <v>51790.71</v>
      </c>
      <c r="L140" s="1">
        <v>29867.62</v>
      </c>
      <c r="M140" s="1">
        <v>34670.96</v>
      </c>
      <c r="N140" s="17">
        <f t="shared" si="6"/>
        <v>0.44231847063810237</v>
      </c>
      <c r="O140" s="1">
        <v>30.44311</v>
      </c>
      <c r="P140" s="1">
        <v>10324.71</v>
      </c>
      <c r="Q140" s="1">
        <v>40015.83</v>
      </c>
      <c r="R140" s="7">
        <v>124.092</v>
      </c>
      <c r="S140" s="7">
        <v>684.976</v>
      </c>
      <c r="T140" s="7">
        <f t="shared" si="4"/>
        <v>809.068</v>
      </c>
      <c r="U140" s="7">
        <v>71.555</v>
      </c>
      <c r="V140" s="7">
        <v>27.214</v>
      </c>
      <c r="W140" s="4" t="s">
        <v>144</v>
      </c>
      <c r="X140" s="4" t="s">
        <v>142</v>
      </c>
      <c r="Y140" s="7">
        <f>IF(X140="rub",R140,R140*'Курс доллара'!$F$6)</f>
        <v>3345.9298236</v>
      </c>
      <c r="Z140" s="7">
        <f>IF(X140="rub",S140,S140*'Курс доллара'!$F$6)</f>
        <v>18469.2133808</v>
      </c>
      <c r="AA140" s="7">
        <f>IF(X140="rub",T140,T140*'Курс доллара'!$F$6)</f>
        <v>21815.1432044</v>
      </c>
      <c r="AB140" s="7">
        <f>IF(X140="rub",U140,U140*'Курс доллара'!$C$6)</f>
        <v>2102.314522</v>
      </c>
      <c r="AC140" s="7">
        <f>IF(X140="rub",V140,V140*'Курс доллара'!$F$6)</f>
        <v>733.7792462</v>
      </c>
      <c r="AD140" s="7" t="str">
        <f t="shared" si="5"/>
        <v>мсфо</v>
      </c>
      <c r="AE140" s="4" t="s">
        <v>143</v>
      </c>
    </row>
    <row r="141" spans="2:31" ht="12.75">
      <c r="B141" s="2" t="s">
        <v>34</v>
      </c>
      <c r="C141" s="1" t="s">
        <v>92</v>
      </c>
      <c r="D141" s="1">
        <v>2009</v>
      </c>
      <c r="E141" s="1" t="s">
        <v>122</v>
      </c>
      <c r="F141" s="1" t="s">
        <v>122</v>
      </c>
      <c r="G141" s="1">
        <v>12878846000</v>
      </c>
      <c r="H141" s="1">
        <v>3704000000</v>
      </c>
      <c r="I141" s="1">
        <v>14560.43</v>
      </c>
      <c r="J141" s="1">
        <v>2173.504</v>
      </c>
      <c r="K141" s="1">
        <v>55564</v>
      </c>
      <c r="L141" s="1">
        <v>15780.97</v>
      </c>
      <c r="M141" s="1">
        <v>38112.82</v>
      </c>
      <c r="N141" s="17">
        <f t="shared" si="6"/>
        <v>0.2347130753052569</v>
      </c>
      <c r="O141" s="1">
        <v>6.457115</v>
      </c>
      <c r="P141" s="1">
        <v>9963.421</v>
      </c>
      <c r="Q141" s="1">
        <v>42340.58</v>
      </c>
      <c r="R141" s="7">
        <v>79.45</v>
      </c>
      <c r="S141" s="7">
        <v>163.076</v>
      </c>
      <c r="T141" s="7">
        <f t="shared" si="4"/>
        <v>242.526</v>
      </c>
      <c r="U141" s="7">
        <v>28.277</v>
      </c>
      <c r="V141" s="7">
        <v>25.307</v>
      </c>
      <c r="W141" s="4" t="s">
        <v>144</v>
      </c>
      <c r="X141" s="4" t="s">
        <v>142</v>
      </c>
      <c r="Y141" s="7">
        <f>IF(X141="rub",R141,R141*'Курс доллара'!$F$7)</f>
        <v>2368.587235</v>
      </c>
      <c r="Z141" s="7">
        <f>IF(X141="rub",S141,S141*'Курс доллара'!$F$7)</f>
        <v>4861.6706348</v>
      </c>
      <c r="AA141" s="7">
        <f>IF(X141="rub",T141,T141*'Курс доллара'!$F$7)</f>
        <v>7230.257869800001</v>
      </c>
      <c r="AB141" s="7">
        <f>IF(X141="rub",U141,U141*'Курс доллара'!$C$7)</f>
        <v>855.2152434</v>
      </c>
      <c r="AC141" s="7">
        <f>IF(X141="rub",V141,V141*'Курс доллара'!$F$7)</f>
        <v>754.4598761</v>
      </c>
      <c r="AD141" s="7" t="str">
        <f t="shared" si="5"/>
        <v>мсфо</v>
      </c>
      <c r="AE141" s="4" t="s">
        <v>143</v>
      </c>
    </row>
    <row r="142" spans="2:31" ht="12.75">
      <c r="B142" s="2" t="s">
        <v>34</v>
      </c>
      <c r="C142" s="1" t="s">
        <v>92</v>
      </c>
      <c r="D142" s="1">
        <v>2010</v>
      </c>
      <c r="E142" s="1">
        <v>0</v>
      </c>
      <c r="F142" s="1"/>
      <c r="G142" s="1"/>
      <c r="H142" s="1">
        <f>244318000*'Курс доллара'!F8</f>
        <v>7417628854.9</v>
      </c>
      <c r="I142" s="1">
        <f>907.359*'Курс доллара'!C8</f>
        <v>27653.489507100003</v>
      </c>
      <c r="J142" s="1"/>
      <c r="K142" s="1">
        <f>2074.747*'Курс доллара'!C8</f>
        <v>63231.8568443</v>
      </c>
      <c r="L142" s="1">
        <f>705.606*'Курс доллара'!F8</f>
        <v>21422.5862433</v>
      </c>
      <c r="M142" s="1">
        <f>1499.074*'Курс доллара'!C8</f>
        <v>45687.1283906</v>
      </c>
      <c r="N142" s="17">
        <f t="shared" si="6"/>
        <v>0.3462527246083508</v>
      </c>
      <c r="O142" s="1"/>
      <c r="P142" s="1">
        <f>(304.104+6.499)*'Курс доллара'!C8</f>
        <v>9466.2165707</v>
      </c>
      <c r="Q142" s="1">
        <f>1529.894*'Курс доллара'!C8</f>
        <v>46626.4264486</v>
      </c>
      <c r="R142" s="7">
        <v>114.322</v>
      </c>
      <c r="S142" s="7">
        <v>189.349</v>
      </c>
      <c r="T142" s="7">
        <f t="shared" si="4"/>
        <v>303.671</v>
      </c>
      <c r="U142" s="7">
        <v>164.628</v>
      </c>
      <c r="V142" s="7">
        <v>26.5</v>
      </c>
      <c r="W142" s="4" t="s">
        <v>144</v>
      </c>
      <c r="X142" s="4" t="s">
        <v>142</v>
      </c>
      <c r="Y142" s="7">
        <f>IF(X142="rub",R142,R142*'Курс доллара'!$F$8)</f>
        <v>3470.8787971</v>
      </c>
      <c r="Z142" s="7">
        <f>IF(X142="rub",S142,S142*'Курс доллара'!$F$8)</f>
        <v>5748.739781949999</v>
      </c>
      <c r="AA142" s="7">
        <f>IF(X142="rub",T142,T142*'Курс доллара'!$F$8)</f>
        <v>9219.61857905</v>
      </c>
      <c r="AB142" s="7">
        <f>IF(X142="rub",U142,U142*'Курс доллара'!$C$8)</f>
        <v>5017.3510932</v>
      </c>
      <c r="AC142" s="7">
        <f>IF(X142="rub",V142,V142*'Курс доллара'!$F$8)</f>
        <v>804.554575</v>
      </c>
      <c r="AD142" s="7" t="str">
        <f>W142</f>
        <v>мсфо</v>
      </c>
      <c r="AE142" s="4" t="s">
        <v>143</v>
      </c>
    </row>
    <row r="143" spans="1:31" ht="12.75">
      <c r="A143">
        <v>36</v>
      </c>
      <c r="B143" s="2" t="s">
        <v>35</v>
      </c>
      <c r="C143" s="1" t="s">
        <v>93</v>
      </c>
      <c r="D143" s="1">
        <v>2007</v>
      </c>
      <c r="E143" s="1">
        <v>16957000000</v>
      </c>
      <c r="F143" s="1" t="s">
        <v>122</v>
      </c>
      <c r="G143" s="1">
        <v>162021670000</v>
      </c>
      <c r="H143" s="1">
        <v>315713224400</v>
      </c>
      <c r="I143" s="1">
        <v>378097.7</v>
      </c>
      <c r="J143" s="1">
        <v>277959.6</v>
      </c>
      <c r="K143" s="1">
        <v>1843180</v>
      </c>
      <c r="L143" s="1">
        <v>1258515</v>
      </c>
      <c r="M143" s="1">
        <v>700755.9</v>
      </c>
      <c r="N143" s="17">
        <f t="shared" si="6"/>
        <v>0.25086170955451464</v>
      </c>
      <c r="O143" s="1">
        <v>21.15548</v>
      </c>
      <c r="P143" s="1">
        <v>672001.3</v>
      </c>
      <c r="Q143" s="1">
        <v>1345136</v>
      </c>
      <c r="R143" s="7">
        <v>3286</v>
      </c>
      <c r="S143" s="7">
        <v>10721</v>
      </c>
      <c r="T143" s="7">
        <f t="shared" si="4"/>
        <v>14007</v>
      </c>
      <c r="U143" s="7">
        <v>998</v>
      </c>
      <c r="V143" s="7">
        <v>214</v>
      </c>
      <c r="W143" s="4" t="s">
        <v>144</v>
      </c>
      <c r="X143" s="4" t="s">
        <v>142</v>
      </c>
      <c r="Y143" s="7">
        <f>IF(X143="rub",R143,R143*'Курс доллара'!$F$5)</f>
        <v>83591.40389999999</v>
      </c>
      <c r="Z143" s="7">
        <f>IF(X143="rub",S143,S143*'Курс доллара'!$F$5)</f>
        <v>272727.76665</v>
      </c>
      <c r="AA143" s="7">
        <f>IF(X143="rub",T143,T143*'Курс доллара'!$F$5)</f>
        <v>356319.17055</v>
      </c>
      <c r="AB143" s="7">
        <f>IF(X143="rub",U143,U143*'Курс доллара'!$C$5)</f>
        <v>24497.1076</v>
      </c>
      <c r="AC143" s="7">
        <f>IF(X143="rub",V143,V143*'Курс доллара'!$F$5)</f>
        <v>5443.871099999999</v>
      </c>
      <c r="AD143" s="7" t="str">
        <f t="shared" si="5"/>
        <v>мсфо</v>
      </c>
      <c r="AE143" s="4" t="s">
        <v>143</v>
      </c>
    </row>
    <row r="144" spans="2:31" ht="12.75">
      <c r="B144" s="2" t="s">
        <v>35</v>
      </c>
      <c r="C144" s="1" t="s">
        <v>93</v>
      </c>
      <c r="D144" s="1">
        <v>2008</v>
      </c>
      <c r="E144" s="1">
        <v>20349000000</v>
      </c>
      <c r="F144" s="1" t="s">
        <v>122</v>
      </c>
      <c r="G144" s="1">
        <v>141313162000</v>
      </c>
      <c r="H144" s="1">
        <v>326710048000</v>
      </c>
      <c r="I144" s="1">
        <v>757857.2</v>
      </c>
      <c r="J144" s="1">
        <v>140853.9</v>
      </c>
      <c r="K144" s="1">
        <v>2279099</v>
      </c>
      <c r="L144" s="1">
        <v>1716596</v>
      </c>
      <c r="M144" s="1">
        <v>1143857</v>
      </c>
      <c r="N144" s="17">
        <f t="shared" si="6"/>
        <v>0.1903243675273623</v>
      </c>
      <c r="O144" s="1">
        <v>14.60103</v>
      </c>
      <c r="P144" s="1">
        <v>710518.7</v>
      </c>
      <c r="Q144" s="1">
        <v>1711978</v>
      </c>
      <c r="R144" s="7">
        <v>3983</v>
      </c>
      <c r="S144" s="7">
        <v>13005</v>
      </c>
      <c r="T144" s="7">
        <f t="shared" si="4"/>
        <v>16988</v>
      </c>
      <c r="U144" s="7">
        <v>1369</v>
      </c>
      <c r="V144" s="7">
        <v>1112</v>
      </c>
      <c r="W144" s="4" t="s">
        <v>144</v>
      </c>
      <c r="X144" s="4" t="s">
        <v>142</v>
      </c>
      <c r="Y144" s="7">
        <f>IF(X144="rub",R144,R144*'Курс доллара'!$F$6)</f>
        <v>107394.8239</v>
      </c>
      <c r="Z144" s="7">
        <f>IF(X144="rub",S144,S144*'Курс доллара'!$F$6)</f>
        <v>350657.7165</v>
      </c>
      <c r="AA144" s="7">
        <f>IF(X144="rub",T144,T144*'Курс доллара'!$F$6)</f>
        <v>458052.5404</v>
      </c>
      <c r="AB144" s="7">
        <f>IF(X144="rub",U144,U144*'Курс доллара'!$C$6)</f>
        <v>40221.7676</v>
      </c>
      <c r="AC144" s="7">
        <f>IF(X144="rub",V144,V144*'Курс доллара'!$F$6)</f>
        <v>29983.1896</v>
      </c>
      <c r="AD144" s="7" t="str">
        <f t="shared" si="5"/>
        <v>мсфо</v>
      </c>
      <c r="AE144" s="4" t="s">
        <v>143</v>
      </c>
    </row>
    <row r="145" spans="2:31" ht="12.75">
      <c r="B145" s="2" t="s">
        <v>35</v>
      </c>
      <c r="C145" s="1" t="s">
        <v>93</v>
      </c>
      <c r="D145" s="1">
        <v>2009</v>
      </c>
      <c r="E145" s="1">
        <v>24376000000</v>
      </c>
      <c r="F145" s="1" t="s">
        <v>122</v>
      </c>
      <c r="G145" s="1">
        <v>208179775000</v>
      </c>
      <c r="H145" s="1">
        <v>197161939800</v>
      </c>
      <c r="I145" s="1">
        <v>952199.6</v>
      </c>
      <c r="J145" s="1">
        <v>97375.58</v>
      </c>
      <c r="K145" s="1">
        <v>2499873</v>
      </c>
      <c r="L145" s="1">
        <v>1486700</v>
      </c>
      <c r="M145" s="1">
        <v>1346499</v>
      </c>
      <c r="N145" s="17">
        <f t="shared" si="6"/>
        <v>0.13261716539987892</v>
      </c>
      <c r="O145" s="1">
        <v>8.104762</v>
      </c>
      <c r="P145" s="1">
        <v>706032.8</v>
      </c>
      <c r="Q145" s="1">
        <v>1830273</v>
      </c>
      <c r="R145" s="7">
        <v>4350</v>
      </c>
      <c r="S145" s="7">
        <v>9128</v>
      </c>
      <c r="T145" s="7">
        <f t="shared" si="4"/>
        <v>13478</v>
      </c>
      <c r="U145" s="7">
        <v>1997</v>
      </c>
      <c r="V145" s="7">
        <v>605</v>
      </c>
      <c r="W145" s="4" t="s">
        <v>144</v>
      </c>
      <c r="X145" s="4" t="s">
        <v>142</v>
      </c>
      <c r="Y145" s="7">
        <f>IF(X145="rub",R145,R145*'Курс доллара'!$F$7)</f>
        <v>129683.505</v>
      </c>
      <c r="Z145" s="7">
        <f>IF(X145="rub",S145,S145*'Курс доллара'!$F$7)</f>
        <v>272126.6744</v>
      </c>
      <c r="AA145" s="7">
        <f>IF(X145="rub",T145,T145*'Курс доллара'!$F$7)</f>
        <v>401810.1794</v>
      </c>
      <c r="AB145" s="7">
        <f>IF(X145="rub",U145,U145*'Курс доллара'!$C$7)</f>
        <v>60397.6674</v>
      </c>
      <c r="AC145" s="7">
        <f>IF(X145="rub",V145,V145*'Курс доллара'!$F$7)</f>
        <v>18036.4415</v>
      </c>
      <c r="AD145" s="7" t="str">
        <f t="shared" si="5"/>
        <v>мсфо</v>
      </c>
      <c r="AE145" s="4" t="s">
        <v>143</v>
      </c>
    </row>
    <row r="146" spans="2:31" ht="12.75">
      <c r="B146" s="2" t="s">
        <v>35</v>
      </c>
      <c r="C146" s="1" t="s">
        <v>93</v>
      </c>
      <c r="D146" s="1">
        <v>2010</v>
      </c>
      <c r="E146" s="1">
        <f>714000000*'Курс доллара'!F8</f>
        <v>21677432700</v>
      </c>
      <c r="F146" s="1"/>
      <c r="G146" s="1"/>
      <c r="H146" s="1">
        <f>10400000000*'Курс доллара'!F8</f>
        <v>315749720000</v>
      </c>
      <c r="I146" s="1">
        <f>48936*'Курс доллара'!C8</f>
        <v>1491417.5784</v>
      </c>
      <c r="J146" s="1"/>
      <c r="K146" s="1">
        <f>93829*'Курс доллара'!C8</f>
        <v>2859617.0501</v>
      </c>
      <c r="L146" s="1">
        <f>63047*'Курс доллара'!F8</f>
        <v>1914141.59585</v>
      </c>
      <c r="M146" s="1">
        <f>54535*'Курс доллара'!C8</f>
        <v>1662057.7415</v>
      </c>
      <c r="N146" s="17">
        <f t="shared" si="6"/>
        <v>0.16495630244103607</v>
      </c>
      <c r="O146" s="1"/>
      <c r="P146" s="1">
        <f>(5498+18057)*'Курс доллара'!C8</f>
        <v>717883.3795</v>
      </c>
      <c r="Q146" s="1">
        <f>61190*'Курс доллара'!C8</f>
        <v>1864881.511</v>
      </c>
      <c r="R146" s="7">
        <v>5597</v>
      </c>
      <c r="S146" s="7">
        <v>13499</v>
      </c>
      <c r="T146" s="7">
        <f t="shared" si="4"/>
        <v>19096</v>
      </c>
      <c r="U146" s="7">
        <v>4154</v>
      </c>
      <c r="V146" s="7">
        <v>580</v>
      </c>
      <c r="W146" s="4" t="s">
        <v>144</v>
      </c>
      <c r="X146" s="4" t="s">
        <v>142</v>
      </c>
      <c r="Y146" s="7">
        <f>IF(X146="rub",R146,R146*'Курс доллара'!$F$8)</f>
        <v>169927.99835</v>
      </c>
      <c r="Z146" s="7">
        <f>IF(X146="rub",S146,S146*'Курс доллара'!$F$8)</f>
        <v>409837.06445</v>
      </c>
      <c r="AA146" s="7">
        <f>IF(X146="rub",T146,T146*'Курс доллара'!$F$8)</f>
        <v>579765.0628</v>
      </c>
      <c r="AB146" s="7">
        <f>IF(X146="rub",U146,U146*'Курс доллара'!$C$8)</f>
        <v>126601.0426</v>
      </c>
      <c r="AC146" s="7">
        <f>IF(X146="rub",V146,V146*'Курс доллара'!$F$8)</f>
        <v>17609.119</v>
      </c>
      <c r="AD146" s="7" t="str">
        <f>W146</f>
        <v>мсфо</v>
      </c>
      <c r="AE146" s="4" t="s">
        <v>143</v>
      </c>
    </row>
    <row r="147" spans="1:31" ht="12.75">
      <c r="A147">
        <v>37</v>
      </c>
      <c r="B147" s="2" t="s">
        <v>36</v>
      </c>
      <c r="C147" s="1" t="s">
        <v>94</v>
      </c>
      <c r="D147" s="1">
        <v>2007</v>
      </c>
      <c r="E147" s="1">
        <v>1414000000</v>
      </c>
      <c r="F147" s="1">
        <v>942000000</v>
      </c>
      <c r="G147" s="1">
        <v>9424000000</v>
      </c>
      <c r="H147" s="1">
        <v>2806000000</v>
      </c>
      <c r="I147" s="1" t="s">
        <v>122</v>
      </c>
      <c r="J147" s="1" t="s">
        <v>122</v>
      </c>
      <c r="K147" s="1" t="s">
        <v>122</v>
      </c>
      <c r="L147" s="1" t="s">
        <v>122</v>
      </c>
      <c r="M147" s="1" t="s">
        <v>122</v>
      </c>
      <c r="N147" s="17"/>
      <c r="O147" s="1" t="s">
        <v>122</v>
      </c>
      <c r="P147" s="1" t="s">
        <v>122</v>
      </c>
      <c r="Q147" s="1">
        <v>38480</v>
      </c>
      <c r="R147" s="7">
        <v>7613</v>
      </c>
      <c r="S147" s="7">
        <v>3029</v>
      </c>
      <c r="T147" s="7">
        <f t="shared" si="4"/>
        <v>10642</v>
      </c>
      <c r="U147" s="7">
        <v>3284</v>
      </c>
      <c r="V147" s="7">
        <v>238</v>
      </c>
      <c r="W147" s="4" t="s">
        <v>144</v>
      </c>
      <c r="X147" s="4" t="s">
        <v>143</v>
      </c>
      <c r="Y147" s="7">
        <f>IF(X147="rub",R147,R147*'Курс доллара'!$F$5)</f>
        <v>7613</v>
      </c>
      <c r="Z147" s="7">
        <f>IF(X147="rub",S147,S147*'Курс доллара'!$F$5)</f>
        <v>3029</v>
      </c>
      <c r="AA147" s="7">
        <f>IF(X147="rub",T147,T147*'Курс доллара'!$F$5)</f>
        <v>10642</v>
      </c>
      <c r="AB147" s="7">
        <f>IF(X147="rub",U147,U147*'Курс доллара'!$C$5)</f>
        <v>3284</v>
      </c>
      <c r="AC147" s="7">
        <f>IF(X147="rub",V147,V147*'Курс доллара'!$F$5)</f>
        <v>238</v>
      </c>
      <c r="AD147" s="7" t="str">
        <f t="shared" si="5"/>
        <v>мсфо</v>
      </c>
      <c r="AE147" s="4" t="s">
        <v>143</v>
      </c>
    </row>
    <row r="148" spans="2:31" ht="12.75">
      <c r="B148" s="2" t="s">
        <v>36</v>
      </c>
      <c r="C148" s="1" t="s">
        <v>94</v>
      </c>
      <c r="D148" s="1">
        <v>2008</v>
      </c>
      <c r="E148" s="1">
        <v>1414000000</v>
      </c>
      <c r="F148" s="1">
        <v>707000000</v>
      </c>
      <c r="G148" s="1">
        <v>7012000000</v>
      </c>
      <c r="H148" s="1">
        <v>12182000000</v>
      </c>
      <c r="I148" s="1">
        <v>59285</v>
      </c>
      <c r="J148" s="1">
        <v>5239</v>
      </c>
      <c r="K148" s="1">
        <v>76703</v>
      </c>
      <c r="L148" s="1">
        <v>258921</v>
      </c>
      <c r="M148" s="1">
        <v>59385</v>
      </c>
      <c r="N148" s="17">
        <f t="shared" si="6"/>
        <v>0.04704909991850796</v>
      </c>
      <c r="O148" s="1" t="s">
        <v>122</v>
      </c>
      <c r="P148" s="1">
        <f>117+2522+103</f>
        <v>2742</v>
      </c>
      <c r="Q148" s="1">
        <v>39586</v>
      </c>
      <c r="R148" s="7">
        <v>7174</v>
      </c>
      <c r="S148" s="7">
        <v>6820</v>
      </c>
      <c r="T148" s="7">
        <f t="shared" si="4"/>
        <v>13994</v>
      </c>
      <c r="U148" s="7">
        <v>11992</v>
      </c>
      <c r="V148" s="7">
        <v>268</v>
      </c>
      <c r="W148" s="4" t="s">
        <v>144</v>
      </c>
      <c r="X148" s="4" t="s">
        <v>143</v>
      </c>
      <c r="Y148" s="7">
        <f>IF(X148="rub",R148,R148*'Курс доллара'!$F$6)</f>
        <v>7174</v>
      </c>
      <c r="Z148" s="7">
        <f>IF(X148="rub",S148,S148*'Курс доллара'!$F$6)</f>
        <v>6820</v>
      </c>
      <c r="AA148" s="7">
        <f>IF(X148="rub",T148,T148*'Курс доллара'!$F$6)</f>
        <v>13994</v>
      </c>
      <c r="AB148" s="7">
        <f>IF(X148="rub",U148,U148*'Курс доллара'!$C$6)</f>
        <v>11992</v>
      </c>
      <c r="AC148" s="7">
        <f>IF(X148="rub",V148,V148*'Курс доллара'!$F$6)</f>
        <v>268</v>
      </c>
      <c r="AD148" s="7" t="str">
        <f t="shared" si="5"/>
        <v>мсфо</v>
      </c>
      <c r="AE148" s="4" t="s">
        <v>143</v>
      </c>
    </row>
    <row r="149" spans="2:31" ht="12.75">
      <c r="B149" s="2" t="s">
        <v>36</v>
      </c>
      <c r="C149" s="1" t="s">
        <v>94</v>
      </c>
      <c r="D149" s="1">
        <v>2009</v>
      </c>
      <c r="E149" s="1">
        <v>1020000000</v>
      </c>
      <c r="F149" s="1">
        <v>510000000</v>
      </c>
      <c r="G149" s="1">
        <v>5102000000</v>
      </c>
      <c r="H149" s="1">
        <v>3456000000</v>
      </c>
      <c r="I149" s="1">
        <v>61274</v>
      </c>
      <c r="J149" s="1">
        <v>43561</v>
      </c>
      <c r="K149" s="1">
        <v>76745</v>
      </c>
      <c r="L149" s="1">
        <v>264645</v>
      </c>
      <c r="M149" s="1">
        <v>61374</v>
      </c>
      <c r="N149" s="17">
        <f t="shared" si="6"/>
        <v>0.013059003570821289</v>
      </c>
      <c r="O149" s="1">
        <v>5.708116</v>
      </c>
      <c r="P149" s="1">
        <f>436+95+1980</f>
        <v>2511</v>
      </c>
      <c r="Q149" s="1">
        <v>40249</v>
      </c>
      <c r="R149" s="7">
        <v>7580</v>
      </c>
      <c r="S149" s="7">
        <v>4264</v>
      </c>
      <c r="T149" s="7">
        <f t="shared" si="4"/>
        <v>11844</v>
      </c>
      <c r="U149" s="7">
        <v>6996</v>
      </c>
      <c r="V149" s="7">
        <v>234</v>
      </c>
      <c r="W149" s="4" t="s">
        <v>144</v>
      </c>
      <c r="X149" s="4" t="s">
        <v>143</v>
      </c>
      <c r="Y149" s="7">
        <f>IF(X149="rub",R149,R149*'Курс доллара'!$F$7)</f>
        <v>7580</v>
      </c>
      <c r="Z149" s="7">
        <f>IF(X149="rub",S149,S149*'Курс доллара'!$F$7)</f>
        <v>4264</v>
      </c>
      <c r="AA149" s="7">
        <f>IF(X149="rub",T149,T149*'Курс доллара'!$F$7)</f>
        <v>11844</v>
      </c>
      <c r="AB149" s="7">
        <f>IF(X149="rub",U149,U149*'Курс доллара'!$C$7)</f>
        <v>6996</v>
      </c>
      <c r="AC149" s="7">
        <f>IF(X149="rub",V149,V149*'Курс доллара'!$F$7)</f>
        <v>234</v>
      </c>
      <c r="AD149" s="7" t="str">
        <f t="shared" si="5"/>
        <v>мсфо</v>
      </c>
      <c r="AE149" s="4" t="s">
        <v>143</v>
      </c>
    </row>
    <row r="150" spans="2:31" ht="12.75">
      <c r="B150" s="2" t="s">
        <v>36</v>
      </c>
      <c r="C150" s="1" t="s">
        <v>94</v>
      </c>
      <c r="D150" s="1">
        <v>2010</v>
      </c>
      <c r="E150" s="1">
        <v>2669000000</v>
      </c>
      <c r="F150" s="1"/>
      <c r="G150" s="1"/>
      <c r="H150" s="1">
        <v>1649000000</v>
      </c>
      <c r="I150" s="1">
        <v>61037</v>
      </c>
      <c r="J150" s="1"/>
      <c r="K150" s="1">
        <v>92458</v>
      </c>
      <c r="L150" s="1">
        <v>275731</v>
      </c>
      <c r="M150" s="1">
        <v>55066</v>
      </c>
      <c r="N150" s="17">
        <f t="shared" si="6"/>
        <v>0.0059804664691311465</v>
      </c>
      <c r="O150" s="1"/>
      <c r="P150" s="1">
        <f>23084+111+46+1455</f>
        <v>24696</v>
      </c>
      <c r="Q150" s="1">
        <v>41019</v>
      </c>
      <c r="R150" s="7">
        <v>7584</v>
      </c>
      <c r="S150" s="7">
        <v>1866</v>
      </c>
      <c r="T150" s="7">
        <f t="shared" si="4"/>
        <v>9450</v>
      </c>
      <c r="U150" s="7">
        <v>7633</v>
      </c>
      <c r="V150" s="7">
        <v>691</v>
      </c>
      <c r="W150" s="4" t="s">
        <v>144</v>
      </c>
      <c r="X150" s="4" t="s">
        <v>143</v>
      </c>
      <c r="Y150" s="7">
        <f>IF(X150="rub",R150,R150*'Курс доллара'!$F$7)</f>
        <v>7584</v>
      </c>
      <c r="Z150" s="7">
        <f>IF(X150="rub",S150,S150*'Курс доллара'!$F$7)</f>
        <v>1866</v>
      </c>
      <c r="AA150" s="7">
        <f>IF(X150="rub",T150,T150*'Курс доллара'!$F$7)</f>
        <v>9450</v>
      </c>
      <c r="AB150" s="7">
        <f>IF(X150="rub",U150,U150*'Курс доллара'!$C$7)</f>
        <v>7633</v>
      </c>
      <c r="AC150" s="7">
        <f>IF(X150="rub",V150,V150*'Курс доллара'!$F$7)</f>
        <v>691</v>
      </c>
      <c r="AD150" s="7" t="str">
        <f>W150</f>
        <v>мсфо</v>
      </c>
      <c r="AE150" s="4" t="s">
        <v>143</v>
      </c>
    </row>
    <row r="151" spans="1:31" ht="12.75">
      <c r="A151">
        <v>38</v>
      </c>
      <c r="B151" s="2" t="s">
        <v>37</v>
      </c>
      <c r="C151" s="1" t="s">
        <v>95</v>
      </c>
      <c r="D151" s="1">
        <v>2007</v>
      </c>
      <c r="E151" s="1">
        <v>11009000000</v>
      </c>
      <c r="F151" s="1">
        <v>650000000</v>
      </c>
      <c r="G151" s="1">
        <v>116685000000</v>
      </c>
      <c r="H151" s="1">
        <v>106489000000</v>
      </c>
      <c r="I151" s="1">
        <v>316962</v>
      </c>
      <c r="J151" s="1">
        <v>135695</v>
      </c>
      <c r="K151" s="1">
        <v>4928808</v>
      </c>
      <c r="L151" s="1">
        <v>531495</v>
      </c>
      <c r="M151" s="1">
        <v>632792</v>
      </c>
      <c r="N151" s="17">
        <f t="shared" si="6"/>
        <v>0.20035748219644586</v>
      </c>
      <c r="O151" s="1">
        <v>2.52574</v>
      </c>
      <c r="P151" s="1">
        <v>381237</v>
      </c>
      <c r="Q151" s="1" t="s">
        <v>122</v>
      </c>
      <c r="R151" s="7">
        <v>17536</v>
      </c>
      <c r="S151" s="8">
        <v>139749</v>
      </c>
      <c r="T151" s="8">
        <f t="shared" si="4"/>
        <v>157285</v>
      </c>
      <c r="U151" s="8">
        <v>242231</v>
      </c>
      <c r="V151" s="8">
        <v>175905</v>
      </c>
      <c r="W151" s="4" t="s">
        <v>144</v>
      </c>
      <c r="X151" s="4" t="s">
        <v>143</v>
      </c>
      <c r="Y151" s="7">
        <f>IF(X151="rub",R151,R151*'Курс доллара'!$F$5)</f>
        <v>17536</v>
      </c>
      <c r="Z151" s="7">
        <f>IF(X151="rub",S151,S151*'Курс доллара'!$F$5)</f>
        <v>139749</v>
      </c>
      <c r="AA151" s="7">
        <f>IF(X151="rub",T151,T151*'Курс доллара'!$F$5)</f>
        <v>157285</v>
      </c>
      <c r="AB151" s="7">
        <f>IF(X151="rub",U151,U151*'Курс доллара'!$C$5)</f>
        <v>242231</v>
      </c>
      <c r="AC151" s="7">
        <f>IF(X151="rub",V151,V151*'Курс доллара'!$F$5)</f>
        <v>175905</v>
      </c>
      <c r="AD151" s="7" t="str">
        <f t="shared" si="5"/>
        <v>мсфо</v>
      </c>
      <c r="AE151" s="4" t="s">
        <v>143</v>
      </c>
    </row>
    <row r="152" spans="2:31" ht="12.75">
      <c r="B152" s="2" t="s">
        <v>37</v>
      </c>
      <c r="C152" s="1" t="s">
        <v>95</v>
      </c>
      <c r="D152" s="1">
        <v>2008</v>
      </c>
      <c r="E152" s="1">
        <v>10362000000</v>
      </c>
      <c r="F152" s="1">
        <v>630000000</v>
      </c>
      <c r="G152" s="1">
        <v>109940000000</v>
      </c>
      <c r="H152" s="1">
        <v>97746000000</v>
      </c>
      <c r="I152" s="1">
        <v>429927</v>
      </c>
      <c r="J152" s="1">
        <v>680096</v>
      </c>
      <c r="K152" s="1">
        <v>6736482</v>
      </c>
      <c r="L152" s="1">
        <v>704252</v>
      </c>
      <c r="M152" s="1">
        <v>745757</v>
      </c>
      <c r="N152" s="17">
        <f t="shared" si="6"/>
        <v>0.13879406803246563</v>
      </c>
      <c r="O152" s="1">
        <v>1.664699</v>
      </c>
      <c r="P152" s="1">
        <v>1136742</v>
      </c>
      <c r="Q152" s="1" t="s">
        <v>122</v>
      </c>
      <c r="R152" s="7">
        <v>21249</v>
      </c>
      <c r="S152" s="8">
        <v>129921</v>
      </c>
      <c r="T152" s="8">
        <f t="shared" si="4"/>
        <v>151170</v>
      </c>
      <c r="U152" s="8">
        <v>803749</v>
      </c>
      <c r="V152" s="8">
        <v>241795</v>
      </c>
      <c r="W152" s="4" t="s">
        <v>144</v>
      </c>
      <c r="X152" s="4" t="s">
        <v>143</v>
      </c>
      <c r="Y152" s="7">
        <f>IF(X152="rub",R152,R152*'Курс доллара'!$F$6)</f>
        <v>21249</v>
      </c>
      <c r="Z152" s="7">
        <f>IF(X152="rub",S152,S152*'Курс доллара'!$F$6)</f>
        <v>129921</v>
      </c>
      <c r="AA152" s="7">
        <f>IF(X152="rub",T152,T152*'Курс доллара'!$F$6)</f>
        <v>151170</v>
      </c>
      <c r="AB152" s="7">
        <f>IF(X152="rub",U152,U152*'Курс доллара'!$C$6)</f>
        <v>803749</v>
      </c>
      <c r="AC152" s="7">
        <f>IF(X152="rub",V152,V152*'Курс доллара'!$F$6)</f>
        <v>241795</v>
      </c>
      <c r="AD152" s="7" t="str">
        <f t="shared" si="5"/>
        <v>мсфо</v>
      </c>
      <c r="AE152" s="4" t="s">
        <v>143</v>
      </c>
    </row>
    <row r="153" spans="2:31" ht="12.75">
      <c r="B153" s="2" t="s">
        <v>37</v>
      </c>
      <c r="C153" s="1" t="s">
        <v>95</v>
      </c>
      <c r="D153" s="1">
        <v>2009</v>
      </c>
      <c r="E153" s="1">
        <v>1727000000</v>
      </c>
      <c r="F153" s="1">
        <v>450000000</v>
      </c>
      <c r="G153" s="1">
        <v>21700000000</v>
      </c>
      <c r="H153" s="1">
        <v>24396000000</v>
      </c>
      <c r="I153" s="1">
        <v>457867</v>
      </c>
      <c r="J153" s="1">
        <v>82132</v>
      </c>
      <c r="K153" s="1">
        <v>7105066</v>
      </c>
      <c r="L153" s="1">
        <v>987562</v>
      </c>
      <c r="M153" s="1">
        <v>773757</v>
      </c>
      <c r="N153" s="17">
        <f t="shared" si="6"/>
        <v>0.024703259137147843</v>
      </c>
      <c r="O153" s="1">
        <v>0.3434009</v>
      </c>
      <c r="P153" s="1">
        <v>812820</v>
      </c>
      <c r="Q153" s="1" t="s">
        <v>122</v>
      </c>
      <c r="R153" s="7">
        <v>28620</v>
      </c>
      <c r="S153" s="8">
        <v>29864</v>
      </c>
      <c r="T153" s="8">
        <f t="shared" si="4"/>
        <v>58484</v>
      </c>
      <c r="U153" s="8">
        <v>725521</v>
      </c>
      <c r="V153" s="8">
        <v>312245</v>
      </c>
      <c r="W153" s="4" t="s">
        <v>144</v>
      </c>
      <c r="X153" s="4" t="s">
        <v>143</v>
      </c>
      <c r="Y153" s="7">
        <f>IF(X153="rub",R153,R153*'Курс доллара'!$F$7)</f>
        <v>28620</v>
      </c>
      <c r="Z153" s="7">
        <f>IF(X153="rub",S153,S153*'Курс доллара'!$F$7)</f>
        <v>29864</v>
      </c>
      <c r="AA153" s="7">
        <f>IF(X153="rub",T153,T153*'Курс доллара'!$F$7)</f>
        <v>58484</v>
      </c>
      <c r="AB153" s="7">
        <f>IF(X153="rub",U153,U153*'Курс доллара'!$C$7)</f>
        <v>725521</v>
      </c>
      <c r="AC153" s="7">
        <f>IF(X153="rub",V153,V153*'Курс доллара'!$F$7)</f>
        <v>312245</v>
      </c>
      <c r="AD153" s="7" t="str">
        <f t="shared" si="5"/>
        <v>мсфо</v>
      </c>
      <c r="AE153" s="4" t="s">
        <v>143</v>
      </c>
    </row>
    <row r="154" spans="2:31" ht="12.75">
      <c r="B154" s="2" t="s">
        <v>37</v>
      </c>
      <c r="C154" s="1" t="s">
        <v>95</v>
      </c>
      <c r="D154" s="1">
        <v>2010</v>
      </c>
      <c r="E154" s="1"/>
      <c r="F154" s="1"/>
      <c r="G154" s="1"/>
      <c r="H154" s="1"/>
      <c r="I154" s="1"/>
      <c r="J154" s="1"/>
      <c r="K154" s="1"/>
      <c r="L154" s="1"/>
      <c r="M154" s="1"/>
      <c r="N154" s="17"/>
      <c r="O154" s="1"/>
      <c r="P154" s="1"/>
      <c r="Q154" s="1"/>
      <c r="R154" s="7"/>
      <c r="S154" s="8"/>
      <c r="T154" s="8"/>
      <c r="U154" s="8"/>
      <c r="V154" s="8"/>
      <c r="W154" s="4"/>
      <c r="X154" s="4"/>
      <c r="Y154" s="7"/>
      <c r="Z154" s="7"/>
      <c r="AA154" s="7"/>
      <c r="AB154" s="7"/>
      <c r="AC154" s="7"/>
      <c r="AD154" s="7"/>
      <c r="AE154" s="4"/>
    </row>
    <row r="155" spans="1:31" ht="12.75">
      <c r="A155">
        <v>39</v>
      </c>
      <c r="B155" s="2" t="s">
        <v>38</v>
      </c>
      <c r="C155" s="1" t="s">
        <v>96</v>
      </c>
      <c r="D155" s="1">
        <v>2007</v>
      </c>
      <c r="E155" s="1">
        <v>565631167</v>
      </c>
      <c r="F155" s="1">
        <v>1000726239</v>
      </c>
      <c r="G155" s="1">
        <v>11304598000</v>
      </c>
      <c r="H155" s="1">
        <v>10113000000</v>
      </c>
      <c r="I155" s="1">
        <v>85</v>
      </c>
      <c r="J155" s="1">
        <v>-1126</v>
      </c>
      <c r="K155" s="1">
        <v>50000</v>
      </c>
      <c r="L155" s="1">
        <v>24226</v>
      </c>
      <c r="M155" s="1">
        <v>28240</v>
      </c>
      <c r="N155" s="17">
        <f t="shared" si="6"/>
        <v>0.4174440683563114</v>
      </c>
      <c r="O155" s="1">
        <v>19.19105</v>
      </c>
      <c r="P155" s="1">
        <v>10898</v>
      </c>
      <c r="Q155" s="1">
        <v>35070</v>
      </c>
      <c r="R155" s="7">
        <v>4562</v>
      </c>
      <c r="S155" s="7">
        <v>4483</v>
      </c>
      <c r="T155" s="7">
        <f t="shared" si="4"/>
        <v>9045</v>
      </c>
      <c r="U155" s="7">
        <v>503</v>
      </c>
      <c r="V155" s="7">
        <v>1152</v>
      </c>
      <c r="W155" s="4" t="s">
        <v>144</v>
      </c>
      <c r="X155" s="4" t="s">
        <v>143</v>
      </c>
      <c r="Y155" s="7">
        <f>IF(X155="rub",R155,R155*'Курс доллара'!$F$5)</f>
        <v>4562</v>
      </c>
      <c r="Z155" s="7">
        <f>IF(X155="rub",S155,S155*'Курс доллара'!$F$5)</f>
        <v>4483</v>
      </c>
      <c r="AA155" s="7">
        <f>IF(X155="rub",T155,T155*'Курс доллара'!$F$5)</f>
        <v>9045</v>
      </c>
      <c r="AB155" s="7">
        <f>IF(X155="rub",U155,U155*'Курс доллара'!$C$5)</f>
        <v>503</v>
      </c>
      <c r="AC155" s="7">
        <f>IF(X155="rub",V155,V155*'Курс доллара'!$F$5)</f>
        <v>1152</v>
      </c>
      <c r="AD155" s="7" t="str">
        <f t="shared" si="5"/>
        <v>мсфо</v>
      </c>
      <c r="AE155" s="4" t="s">
        <v>143</v>
      </c>
    </row>
    <row r="156" spans="2:31" ht="12.75">
      <c r="B156" s="2" t="s">
        <v>38</v>
      </c>
      <c r="C156" s="1" t="s">
        <v>96</v>
      </c>
      <c r="D156" s="1">
        <v>2008</v>
      </c>
      <c r="E156" s="1">
        <v>543605030</v>
      </c>
      <c r="F156" s="1">
        <v>320723119</v>
      </c>
      <c r="G156" s="1">
        <v>3622178000</v>
      </c>
      <c r="H156" s="1">
        <v>2561000000</v>
      </c>
      <c r="I156" s="1">
        <v>24339</v>
      </c>
      <c r="J156" s="1">
        <v>-8223</v>
      </c>
      <c r="K156" s="1">
        <v>54186</v>
      </c>
      <c r="L156" s="1">
        <v>25176</v>
      </c>
      <c r="M156" s="1">
        <v>29097</v>
      </c>
      <c r="N156" s="17">
        <f t="shared" si="6"/>
        <v>0.10172386399745789</v>
      </c>
      <c r="O156" s="1">
        <v>4.300533</v>
      </c>
      <c r="P156" s="1">
        <v>16092</v>
      </c>
      <c r="Q156" s="1">
        <v>43251</v>
      </c>
      <c r="R156" s="7">
        <v>5514</v>
      </c>
      <c r="S156" s="7">
        <v>4596</v>
      </c>
      <c r="T156" s="7">
        <f t="shared" si="4"/>
        <v>10110</v>
      </c>
      <c r="U156" s="7">
        <v>1001</v>
      </c>
      <c r="V156" s="7">
        <f>877+162+23</f>
        <v>1062</v>
      </c>
      <c r="W156" s="4" t="s">
        <v>144</v>
      </c>
      <c r="X156" s="4" t="s">
        <v>143</v>
      </c>
      <c r="Y156" s="7">
        <f>IF(X156="rub",R156,R156*'Курс доллара'!$F$6)</f>
        <v>5514</v>
      </c>
      <c r="Z156" s="7">
        <f>IF(X156="rub",S156,S156*'Курс доллара'!$F$6)</f>
        <v>4596</v>
      </c>
      <c r="AA156" s="7">
        <f>IF(X156="rub",T156,T156*'Курс доллара'!$F$6)</f>
        <v>10110</v>
      </c>
      <c r="AB156" s="7">
        <f>IF(X156="rub",U156,U156*'Курс доллара'!$C$6)</f>
        <v>1001</v>
      </c>
      <c r="AC156" s="7">
        <f>IF(X156="rub",V156,V156*'Курс доллара'!$F$6)</f>
        <v>1062</v>
      </c>
      <c r="AD156" s="7" t="str">
        <f t="shared" si="5"/>
        <v>мсфо</v>
      </c>
      <c r="AE156" s="4" t="s">
        <v>143</v>
      </c>
    </row>
    <row r="157" spans="2:31" ht="12.75">
      <c r="B157" s="2" t="s">
        <v>38</v>
      </c>
      <c r="C157" s="1" t="s">
        <v>96</v>
      </c>
      <c r="D157" s="1">
        <v>2009</v>
      </c>
      <c r="E157" s="1">
        <v>520697852</v>
      </c>
      <c r="F157" s="1">
        <v>307453543</v>
      </c>
      <c r="G157" s="1">
        <v>3473469000</v>
      </c>
      <c r="H157" s="1">
        <v>2592000000</v>
      </c>
      <c r="I157" s="1">
        <v>28591</v>
      </c>
      <c r="J157" s="1">
        <v>4632</v>
      </c>
      <c r="K157" s="1">
        <v>56601</v>
      </c>
      <c r="L157" s="1">
        <v>26566</v>
      </c>
      <c r="M157" s="1">
        <v>30824</v>
      </c>
      <c r="N157" s="17">
        <f t="shared" si="6"/>
        <v>0.09756832040954604</v>
      </c>
      <c r="O157" s="1">
        <v>4.122409</v>
      </c>
      <c r="P157" s="1">
        <v>17166</v>
      </c>
      <c r="Q157" s="1">
        <v>41883</v>
      </c>
      <c r="R157" s="7">
        <v>6859</v>
      </c>
      <c r="S157" s="7">
        <v>4718</v>
      </c>
      <c r="T157" s="7">
        <f t="shared" si="4"/>
        <v>11577</v>
      </c>
      <c r="U157" s="7">
        <v>574</v>
      </c>
      <c r="V157" s="7">
        <f>1219+231+8</f>
        <v>1458</v>
      </c>
      <c r="W157" s="4" t="s">
        <v>144</v>
      </c>
      <c r="X157" s="4" t="s">
        <v>143</v>
      </c>
      <c r="Y157" s="7">
        <f>IF(X157="rub",R157,R157*'Курс доллара'!$F$7)</f>
        <v>6859</v>
      </c>
      <c r="Z157" s="7">
        <f>IF(X157="rub",S157,S157*'Курс доллара'!$F$7)</f>
        <v>4718</v>
      </c>
      <c r="AA157" s="7">
        <f>IF(X157="rub",T157,T157*'Курс доллара'!$F$7)</f>
        <v>11577</v>
      </c>
      <c r="AB157" s="7">
        <f>IF(X157="rub",U157,U157*'Курс доллара'!$C$7)</f>
        <v>574</v>
      </c>
      <c r="AC157" s="7">
        <f>IF(X157="rub",V157,V157*'Курс доллара'!$F$7)</f>
        <v>1458</v>
      </c>
      <c r="AD157" s="7" t="str">
        <f t="shared" si="5"/>
        <v>мсфо</v>
      </c>
      <c r="AE157" s="4" t="s">
        <v>143</v>
      </c>
    </row>
    <row r="158" spans="2:31" ht="12.75">
      <c r="B158" s="2" t="s">
        <v>38</v>
      </c>
      <c r="C158" s="1" t="s">
        <v>96</v>
      </c>
      <c r="D158" s="1">
        <v>2010</v>
      </c>
      <c r="E158" s="1">
        <v>1664000000</v>
      </c>
      <c r="F158" s="1"/>
      <c r="G158" s="1"/>
      <c r="H158" s="1">
        <v>3704000000</v>
      </c>
      <c r="I158" s="1">
        <v>30641</v>
      </c>
      <c r="J158" s="1"/>
      <c r="K158" s="1">
        <v>58476</v>
      </c>
      <c r="L158" s="1">
        <v>28368</v>
      </c>
      <c r="M158" s="1">
        <v>32473</v>
      </c>
      <c r="N158" s="17">
        <f t="shared" si="6"/>
        <v>0.1305696559503666</v>
      </c>
      <c r="O158" s="1"/>
      <c r="P158" s="1">
        <f>3708+13024</f>
        <v>16732</v>
      </c>
      <c r="Q158" s="1">
        <f>41767+85</f>
        <v>41852</v>
      </c>
      <c r="R158" s="7">
        <v>6792</v>
      </c>
      <c r="S158" s="7">
        <v>5940</v>
      </c>
      <c r="T158" s="7">
        <f t="shared" si="4"/>
        <v>12732</v>
      </c>
      <c r="U158" s="7">
        <v>282</v>
      </c>
      <c r="V158" s="7">
        <f>1126+244+6</f>
        <v>1376</v>
      </c>
      <c r="W158" s="4" t="s">
        <v>144</v>
      </c>
      <c r="X158" s="4" t="s">
        <v>143</v>
      </c>
      <c r="Y158" s="7">
        <f>IF(X158="rub",R158,R158*'Курс доллара'!$F$7)</f>
        <v>6792</v>
      </c>
      <c r="Z158" s="7">
        <f>IF(X158="rub",S158,S158*'Курс доллара'!$F$7)</f>
        <v>5940</v>
      </c>
      <c r="AA158" s="7">
        <f>IF(X158="rub",T158,T158*'Курс доллара'!$F$7)</f>
        <v>12732</v>
      </c>
      <c r="AB158" s="7">
        <f>IF(X158="rub",U158,U158*'Курс доллара'!$C$7)</f>
        <v>282</v>
      </c>
      <c r="AC158" s="7">
        <f>IF(X158="rub",V158,V158*'Курс доллара'!$F$7)</f>
        <v>1376</v>
      </c>
      <c r="AD158" s="7" t="str">
        <f>W158</f>
        <v>мсфо</v>
      </c>
      <c r="AE158" s="4" t="s">
        <v>143</v>
      </c>
    </row>
    <row r="159" spans="1:31" ht="12.75">
      <c r="A159">
        <v>40</v>
      </c>
      <c r="B159" s="2" t="s">
        <v>39</v>
      </c>
      <c r="C159" s="1" t="s">
        <v>97</v>
      </c>
      <c r="D159" s="1">
        <v>2007</v>
      </c>
      <c r="E159" s="1">
        <v>735894244</v>
      </c>
      <c r="F159" s="1" t="s">
        <v>122</v>
      </c>
      <c r="G159" s="1">
        <v>2943886000</v>
      </c>
      <c r="H159" s="1" t="s">
        <v>122</v>
      </c>
      <c r="I159" s="1">
        <v>8669.947</v>
      </c>
      <c r="J159" s="1" t="s">
        <v>122</v>
      </c>
      <c r="K159" s="1">
        <v>16296.74</v>
      </c>
      <c r="L159" s="1">
        <v>19014.67</v>
      </c>
      <c r="M159" s="1">
        <v>9841.818</v>
      </c>
      <c r="N159" s="17">
        <f>G159/L159/1000000</f>
        <v>0.15482182967151153</v>
      </c>
      <c r="O159" s="1">
        <v>22.54254</v>
      </c>
      <c r="P159" s="1">
        <v>2871.113</v>
      </c>
      <c r="Q159" s="1">
        <v>10095.35</v>
      </c>
      <c r="R159" s="7">
        <v>210.928</v>
      </c>
      <c r="S159" s="7">
        <v>4298.569</v>
      </c>
      <c r="T159" s="7">
        <f t="shared" si="4"/>
        <v>4509.497</v>
      </c>
      <c r="U159" s="7">
        <v>4.483</v>
      </c>
      <c r="V159" s="7">
        <v>150.705</v>
      </c>
      <c r="W159" s="4" t="s">
        <v>139</v>
      </c>
      <c r="X159" s="4" t="s">
        <v>143</v>
      </c>
      <c r="Y159" s="7">
        <f>IF(X159="rub",R159,R159*'Курс доллара'!$F$5)</f>
        <v>210.928</v>
      </c>
      <c r="Z159" s="7">
        <f>IF(X159="rub",S159,S159*'Курс доллара'!$F$5)</f>
        <v>4298.569</v>
      </c>
      <c r="AA159" s="7">
        <f>IF(X159="rub",T159,T159*'Курс доллара'!$F$5)</f>
        <v>4509.497</v>
      </c>
      <c r="AB159" s="7">
        <f>IF(X159="rub",U159,U159*'Курс доллара'!$C$5)</f>
        <v>4.483</v>
      </c>
      <c r="AC159" s="7">
        <f>IF(X159="rub",V159,V159*'Курс доллара'!$F$5)</f>
        <v>150.705</v>
      </c>
      <c r="AD159" s="7" t="str">
        <f t="shared" si="5"/>
        <v>рсбу</v>
      </c>
      <c r="AE159" s="4" t="s">
        <v>143</v>
      </c>
    </row>
    <row r="160" spans="2:31" ht="12.75">
      <c r="B160" s="2" t="s">
        <v>39</v>
      </c>
      <c r="C160" s="1" t="s">
        <v>97</v>
      </c>
      <c r="D160" s="1">
        <v>2008</v>
      </c>
      <c r="E160" s="1">
        <v>563110704</v>
      </c>
      <c r="F160" s="1" t="s">
        <v>122</v>
      </c>
      <c r="G160" s="1">
        <v>1407665000</v>
      </c>
      <c r="H160" s="1" t="s">
        <v>122</v>
      </c>
      <c r="I160" s="1">
        <v>9361.943</v>
      </c>
      <c r="J160" s="1" t="s">
        <v>122</v>
      </c>
      <c r="K160" s="1">
        <v>22143.71</v>
      </c>
      <c r="L160" s="1">
        <v>23285.42</v>
      </c>
      <c r="M160" s="1">
        <v>10529.92</v>
      </c>
      <c r="N160" s="17">
        <f>G160/L160/1000000</f>
        <v>0.060452635168272685</v>
      </c>
      <c r="O160" s="1">
        <v>7.323873</v>
      </c>
      <c r="P160" s="1">
        <v>6170.444</v>
      </c>
      <c r="Q160" s="1">
        <v>15112.79</v>
      </c>
      <c r="R160" s="7">
        <v>304.384</v>
      </c>
      <c r="S160" s="7">
        <v>3170.673</v>
      </c>
      <c r="T160" s="7">
        <f t="shared" si="4"/>
        <v>3475.057</v>
      </c>
      <c r="U160" s="7">
        <v>2.735</v>
      </c>
      <c r="V160" s="7">
        <v>357.44</v>
      </c>
      <c r="W160" s="4" t="s">
        <v>139</v>
      </c>
      <c r="X160" s="4" t="s">
        <v>143</v>
      </c>
      <c r="Y160" s="7">
        <f>IF(X160="rub",R160,R160*'Курс доллара'!$F$6)</f>
        <v>304.384</v>
      </c>
      <c r="Z160" s="7">
        <f>IF(X160="rub",S160,S160*'Курс доллара'!$F$6)</f>
        <v>3170.673</v>
      </c>
      <c r="AA160" s="7">
        <f>IF(X160="rub",T160,T160*'Курс доллара'!$F$6)</f>
        <v>3475.057</v>
      </c>
      <c r="AB160" s="7">
        <f>IF(X160="rub",U160,U160*'Курс доллара'!$C$6)</f>
        <v>2.735</v>
      </c>
      <c r="AC160" s="7">
        <f>IF(X160="rub",V160,V160*'Курс доллара'!$F$6)</f>
        <v>357.44</v>
      </c>
      <c r="AD160" s="7" t="str">
        <f t="shared" si="5"/>
        <v>рсбу</v>
      </c>
      <c r="AE160" s="4" t="s">
        <v>143</v>
      </c>
    </row>
    <row r="161" spans="2:31" ht="12.75">
      <c r="B161" s="2" t="s">
        <v>39</v>
      </c>
      <c r="C161" s="1" t="s">
        <v>97</v>
      </c>
      <c r="D161" s="1">
        <v>2009</v>
      </c>
      <c r="E161" s="1" t="s">
        <v>122</v>
      </c>
      <c r="F161" s="1" t="s">
        <v>122</v>
      </c>
      <c r="G161" s="1">
        <v>-1222261000</v>
      </c>
      <c r="H161" s="1" t="s">
        <v>122</v>
      </c>
      <c r="I161" s="1">
        <v>7579.24</v>
      </c>
      <c r="J161" s="1" t="s">
        <v>122</v>
      </c>
      <c r="K161" s="1">
        <v>25759.84</v>
      </c>
      <c r="L161" s="1">
        <v>17194.25</v>
      </c>
      <c r="M161" s="1">
        <v>8744.55</v>
      </c>
      <c r="N161" s="17">
        <f>G161/L161/1000000</f>
        <v>-0.07108545007778763</v>
      </c>
      <c r="O161" s="1">
        <v>-5.103008</v>
      </c>
      <c r="P161" s="1">
        <v>12686.53</v>
      </c>
      <c r="Q161" s="1">
        <v>18931.31</v>
      </c>
      <c r="R161" s="7">
        <v>528.432</v>
      </c>
      <c r="S161" s="7">
        <v>210.014</v>
      </c>
      <c r="T161" s="7">
        <f t="shared" si="4"/>
        <v>738.446</v>
      </c>
      <c r="U161" s="7">
        <v>3.158</v>
      </c>
      <c r="V161" s="7">
        <v>1201.624</v>
      </c>
      <c r="W161" s="4" t="s">
        <v>139</v>
      </c>
      <c r="X161" s="4" t="s">
        <v>143</v>
      </c>
      <c r="Y161" s="7">
        <f>IF(X161="rub",R161,R161*'Курс доллара'!$F$7)</f>
        <v>528.432</v>
      </c>
      <c r="Z161" s="7">
        <f>IF(X161="rub",S161,S161*'Курс доллара'!$F$7)</f>
        <v>210.014</v>
      </c>
      <c r="AA161" s="7">
        <f>IF(X161="rub",T161,T161*'Курс доллара'!$F$7)</f>
        <v>738.446</v>
      </c>
      <c r="AB161" s="7">
        <f>IF(X161="rub",U161,U161*'Курс доллара'!$C$7)</f>
        <v>3.158</v>
      </c>
      <c r="AC161" s="7">
        <f>IF(X161="rub",V161,V161*'Курс доллара'!$F$7)</f>
        <v>1201.624</v>
      </c>
      <c r="AD161" s="7" t="str">
        <f t="shared" si="5"/>
        <v>рсбу</v>
      </c>
      <c r="AE161" s="4" t="s">
        <v>143</v>
      </c>
    </row>
    <row r="162" spans="2:31" ht="12.75">
      <c r="B162" s="2" t="s">
        <v>39</v>
      </c>
      <c r="C162" s="1" t="s">
        <v>97</v>
      </c>
      <c r="D162" s="1">
        <v>2010</v>
      </c>
      <c r="E162" s="1"/>
      <c r="F162" s="1"/>
      <c r="G162" s="1"/>
      <c r="H162" s="1"/>
      <c r="I162" s="1"/>
      <c r="J162" s="1"/>
      <c r="K162" s="1"/>
      <c r="L162" s="1"/>
      <c r="M162" s="1"/>
      <c r="N162" s="17"/>
      <c r="O162" s="1"/>
      <c r="P162" s="1"/>
      <c r="Q162" s="1"/>
      <c r="R162" s="7"/>
      <c r="S162" s="7"/>
      <c r="T162" s="7"/>
      <c r="U162" s="7"/>
      <c r="V162" s="7"/>
      <c r="W162" s="4"/>
      <c r="X162" s="4"/>
      <c r="Y162" s="7"/>
      <c r="Z162" s="7"/>
      <c r="AA162" s="7"/>
      <c r="AB162" s="7"/>
      <c r="AC162" s="7"/>
      <c r="AD162" s="7"/>
      <c r="AE162" s="4"/>
    </row>
    <row r="163" spans="1:31" ht="12.75">
      <c r="A163">
        <v>41</v>
      </c>
      <c r="B163" s="2" t="s">
        <v>40</v>
      </c>
      <c r="C163" s="1" t="s">
        <v>98</v>
      </c>
      <c r="D163" s="1">
        <v>2007</v>
      </c>
      <c r="E163" s="1">
        <v>19247000000</v>
      </c>
      <c r="F163" s="1" t="s">
        <v>122</v>
      </c>
      <c r="G163" s="1">
        <v>42101125134</v>
      </c>
      <c r="H163" s="1">
        <v>47258000000</v>
      </c>
      <c r="I163" s="1">
        <v>125579.6</v>
      </c>
      <c r="J163" s="1">
        <v>9958.396</v>
      </c>
      <c r="K163" s="1">
        <v>433680.8</v>
      </c>
      <c r="L163" s="1">
        <v>396441.2</v>
      </c>
      <c r="M163" s="1">
        <v>235887.5</v>
      </c>
      <c r="N163" s="17">
        <f t="shared" si="6"/>
        <v>0.11920557197385136</v>
      </c>
      <c r="O163" s="1">
        <v>10.16034</v>
      </c>
      <c r="P163" s="1">
        <v>97139.51</v>
      </c>
      <c r="Q163" s="1">
        <v>207025.5</v>
      </c>
      <c r="R163" s="7">
        <v>846.262</v>
      </c>
      <c r="S163" s="7">
        <v>2807.326</v>
      </c>
      <c r="T163" s="7">
        <f t="shared" si="4"/>
        <v>3653.5879999999997</v>
      </c>
      <c r="U163" s="7">
        <v>1622.542</v>
      </c>
      <c r="V163" s="7">
        <v>325.58</v>
      </c>
      <c r="W163" s="4" t="s">
        <v>144</v>
      </c>
      <c r="X163" s="4" t="s">
        <v>142</v>
      </c>
      <c r="Y163" s="7">
        <f>IF(X163="rub",R163,R163*'Курс доллара'!$F$5)</f>
        <v>21527.762826299997</v>
      </c>
      <c r="Z163" s="7">
        <f>IF(X163="rub",S163,S163*'Курс доллара'!$F$5)</f>
        <v>71414.5835499</v>
      </c>
      <c r="AA163" s="7">
        <f>IF(X163="rub",T163,T163*'Курс доллара'!$F$5)</f>
        <v>92942.34637619999</v>
      </c>
      <c r="AB163" s="7">
        <f>IF(X163="rub",U163,U163*'Курс доллара'!$C$5)</f>
        <v>39827.2404404</v>
      </c>
      <c r="AC163" s="7">
        <f>IF(X163="rub",V163,V163*'Курс доллара'!$F$5)</f>
        <v>8282.315666999999</v>
      </c>
      <c r="AD163" s="7" t="str">
        <f t="shared" si="5"/>
        <v>мсфо</v>
      </c>
      <c r="AE163" s="4" t="s">
        <v>143</v>
      </c>
    </row>
    <row r="164" spans="2:31" ht="12.75">
      <c r="B164" s="2" t="s">
        <v>40</v>
      </c>
      <c r="C164" s="1" t="s">
        <v>98</v>
      </c>
      <c r="D164" s="1">
        <v>2008</v>
      </c>
      <c r="E164" s="1">
        <v>30957000000</v>
      </c>
      <c r="F164" s="1" t="s">
        <v>122</v>
      </c>
      <c r="G164" s="1">
        <v>38579751010</v>
      </c>
      <c r="H164" s="1">
        <v>50469000000</v>
      </c>
      <c r="I164" s="1">
        <v>134508.4</v>
      </c>
      <c r="J164" s="1">
        <v>47620.16</v>
      </c>
      <c r="K164" s="1">
        <v>661972.4</v>
      </c>
      <c r="L164" s="1">
        <v>399739.4</v>
      </c>
      <c r="M164" s="1">
        <v>266139.4</v>
      </c>
      <c r="N164" s="17">
        <f t="shared" si="6"/>
        <v>0.1262547549728648</v>
      </c>
      <c r="O164" s="1">
        <v>10.11584</v>
      </c>
      <c r="P164" s="1">
        <v>243041.1</v>
      </c>
      <c r="Q164" s="1">
        <v>291021.1</v>
      </c>
      <c r="R164" s="7">
        <v>837.749</v>
      </c>
      <c r="S164" s="7">
        <v>3982.459</v>
      </c>
      <c r="T164" s="7">
        <f t="shared" si="4"/>
        <v>4820.208</v>
      </c>
      <c r="U164" s="7">
        <v>2652.888</v>
      </c>
      <c r="V164" s="7">
        <v>397.915</v>
      </c>
      <c r="W164" s="4" t="s">
        <v>144</v>
      </c>
      <c r="X164" s="4" t="s">
        <v>142</v>
      </c>
      <c r="Y164" s="7">
        <f>IF(X164="rub",R164,R164*'Курс доллара'!$F$6)</f>
        <v>22588.4776117</v>
      </c>
      <c r="Z164" s="7">
        <f>IF(X164="rub",S164,S164*'Курс доллара'!$F$6)</f>
        <v>107380.2367547</v>
      </c>
      <c r="AA164" s="7">
        <f>IF(X164="rub",T164,T164*'Курс доллара'!$F$6)</f>
        <v>129968.71436639999</v>
      </c>
      <c r="AB164" s="7">
        <f>IF(X164="rub",U164,U164*'Курс доллара'!$C$6)</f>
        <v>77942.9105952</v>
      </c>
      <c r="AC164" s="7">
        <f>IF(X164="rub",V164,V164*'Курс доллара'!$F$6)</f>
        <v>10729.1015195</v>
      </c>
      <c r="AD164" s="7" t="str">
        <f t="shared" si="5"/>
        <v>мсфо</v>
      </c>
      <c r="AE164" s="4" t="s">
        <v>143</v>
      </c>
    </row>
    <row r="165" spans="2:31" ht="12.75">
      <c r="B165" s="2" t="s">
        <v>40</v>
      </c>
      <c r="C165" s="1" t="s">
        <v>98</v>
      </c>
      <c r="D165" s="1">
        <v>2009</v>
      </c>
      <c r="E165" s="1" t="s">
        <v>122</v>
      </c>
      <c r="F165" s="1" t="s">
        <v>122</v>
      </c>
      <c r="G165" s="1">
        <v>1356710333</v>
      </c>
      <c r="H165" s="1">
        <v>-32953000000</v>
      </c>
      <c r="I165" s="1">
        <v>102151.7</v>
      </c>
      <c r="J165" s="1">
        <v>30636.19</v>
      </c>
      <c r="K165" s="1">
        <v>590004.1</v>
      </c>
      <c r="L165" s="1">
        <v>304600.9</v>
      </c>
      <c r="M165" s="1">
        <v>236612.9</v>
      </c>
      <c r="N165" s="17">
        <f t="shared" si="6"/>
        <v>-0.1081841846166574</v>
      </c>
      <c r="O165" s="1">
        <v>-4.920749</v>
      </c>
      <c r="P165" s="1">
        <v>217058.7</v>
      </c>
      <c r="Q165" s="1">
        <v>288759.4</v>
      </c>
      <c r="R165" s="7">
        <v>697.794</v>
      </c>
      <c r="S165" s="7">
        <v>859.166</v>
      </c>
      <c r="T165" s="7">
        <f t="shared" si="4"/>
        <v>1556.96</v>
      </c>
      <c r="U165" s="7">
        <v>2853.376</v>
      </c>
      <c r="V165" s="7">
        <v>478.453</v>
      </c>
      <c r="W165" s="4" t="s">
        <v>144</v>
      </c>
      <c r="X165" s="4" t="s">
        <v>142</v>
      </c>
      <c r="Y165" s="7">
        <f>IF(X165="rub",R165,R165*'Курс доллара'!$F$7)</f>
        <v>20802.8440662</v>
      </c>
      <c r="Z165" s="7">
        <f>IF(X165="rub",S165,S165*'Курс доллара'!$F$7)</f>
        <v>25613.714541800004</v>
      </c>
      <c r="AA165" s="7">
        <f>IF(X165="rub",T165,T165*'Курс доллара'!$F$7)</f>
        <v>46416.558608</v>
      </c>
      <c r="AB165" s="7">
        <f>IF(X165="rub",U165,U165*'Курс доллара'!$C$7)</f>
        <v>86298.0744192</v>
      </c>
      <c r="AC165" s="7">
        <f>IF(X165="rub",V165,V165*'Курс доллара'!$F$7)</f>
        <v>14263.7843719</v>
      </c>
      <c r="AD165" s="7" t="str">
        <f t="shared" si="5"/>
        <v>мсфо</v>
      </c>
      <c r="AE165" s="4" t="s">
        <v>143</v>
      </c>
    </row>
    <row r="166" spans="2:31" ht="12.75">
      <c r="B166" s="2" t="s">
        <v>40</v>
      </c>
      <c r="C166" s="1" t="s">
        <v>98</v>
      </c>
      <c r="D166" s="1">
        <v>2010</v>
      </c>
      <c r="E166" s="1">
        <f>14963000*'Курс доллара'!F8</f>
        <v>454284909.65</v>
      </c>
      <c r="F166" s="1"/>
      <c r="G166" s="1"/>
      <c r="H166" s="1">
        <f>-515014000*'Курс доллара'!F8</f>
        <v>-15636108297.7</v>
      </c>
      <c r="I166" s="1">
        <f>2780.19*'Курс доллара'!C8</f>
        <v>84731.572611</v>
      </c>
      <c r="J166" s="1"/>
      <c r="K166" s="1">
        <f>19328.519*'Курс доллара'!C8</f>
        <v>589073.3407111</v>
      </c>
      <c r="L166" s="1">
        <f>13573.265*'Курс доллара'!F8</f>
        <v>412091.79069575</v>
      </c>
      <c r="M166" s="1">
        <f>7009.897*'Курс доллара'!C8</f>
        <v>213639.9298793</v>
      </c>
      <c r="N166" s="17">
        <f t="shared" si="6"/>
        <v>-0.037943265677049705</v>
      </c>
      <c r="O166" s="1"/>
      <c r="P166" s="1">
        <f>(1422.262+4719.722)*'Курс доллара'!C8</f>
        <v>187188.6321696</v>
      </c>
      <c r="Q166" s="1">
        <f>7351.835*'Курс доллара'!C8</f>
        <v>224061.14011150002</v>
      </c>
      <c r="R166" s="7">
        <v>713.005</v>
      </c>
      <c r="S166" s="7">
        <v>2504.239</v>
      </c>
      <c r="T166" s="7">
        <f t="shared" si="4"/>
        <v>3217.244</v>
      </c>
      <c r="U166" s="7">
        <v>2012.662</v>
      </c>
      <c r="V166" s="7">
        <v>630.775</v>
      </c>
      <c r="W166" s="4" t="s">
        <v>144</v>
      </c>
      <c r="X166" s="4" t="s">
        <v>142</v>
      </c>
      <c r="Y166" s="7">
        <f>IF(X166="rub",R166,R166*'Курс доллара'!$F$8)</f>
        <v>21647.22395275</v>
      </c>
      <c r="Z166" s="7">
        <f>IF(X166="rub",S166,S166*'Курс доллара'!$F$8)</f>
        <v>76030.07337145</v>
      </c>
      <c r="AA166" s="7">
        <f>IF(X166="rub",T166,T166*'Курс доллара'!$F$8)</f>
        <v>97677.2973242</v>
      </c>
      <c r="AB166" s="7">
        <f>IF(X166="rub",U166,U166*'Курс доллара'!$C$8)</f>
        <v>61339.6985078</v>
      </c>
      <c r="AC166" s="7">
        <f>IF(X166="rub",V166,V166*'Курс доллара'!$F$8)</f>
        <v>19150.675926249998</v>
      </c>
      <c r="AD166" s="7" t="str">
        <f t="shared" si="5"/>
        <v>мсфо</v>
      </c>
      <c r="AE166" s="4" t="s">
        <v>143</v>
      </c>
    </row>
    <row r="167" spans="1:31" ht="12.75">
      <c r="A167">
        <v>42</v>
      </c>
      <c r="B167" s="2" t="s">
        <v>41</v>
      </c>
      <c r="C167" s="1" t="s">
        <v>119</v>
      </c>
      <c r="D167" s="1">
        <v>2007</v>
      </c>
      <c r="E167" s="1">
        <v>431077200</v>
      </c>
      <c r="F167" s="1">
        <v>259698876</v>
      </c>
      <c r="G167" s="1">
        <v>2644609000</v>
      </c>
      <c r="H167" s="1">
        <v>2659000000</v>
      </c>
      <c r="I167" s="1">
        <v>14806</v>
      </c>
      <c r="J167" s="1">
        <v>-273</v>
      </c>
      <c r="K167" s="1">
        <v>51094</v>
      </c>
      <c r="L167" s="1">
        <v>35246</v>
      </c>
      <c r="M167" s="1">
        <v>17478</v>
      </c>
      <c r="N167" s="17">
        <f t="shared" si="6"/>
        <v>0.07544118481529818</v>
      </c>
      <c r="O167" s="1">
        <v>4.921463</v>
      </c>
      <c r="P167" s="1">
        <v>21355</v>
      </c>
      <c r="Q167" s="1">
        <v>40539</v>
      </c>
      <c r="R167" s="7">
        <v>6128</v>
      </c>
      <c r="S167" s="7">
        <v>6158</v>
      </c>
      <c r="T167" s="7">
        <f t="shared" si="4"/>
        <v>12286</v>
      </c>
      <c r="U167" s="7">
        <v>1383</v>
      </c>
      <c r="V167" s="7">
        <f>1527+372+176</f>
        <v>2075</v>
      </c>
      <c r="W167" s="4" t="s">
        <v>144</v>
      </c>
      <c r="X167" s="4" t="s">
        <v>143</v>
      </c>
      <c r="Y167" s="7">
        <f>IF(X167="rub",R167,R167*'Курс доллара'!$F$5)</f>
        <v>6128</v>
      </c>
      <c r="Z167" s="7">
        <f>IF(X167="rub",S167,S167*'Курс доллара'!$F$5)</f>
        <v>6158</v>
      </c>
      <c r="AA167" s="7">
        <f>IF(X167="rub",T167,T167*'Курс доллара'!$F$5)</f>
        <v>12286</v>
      </c>
      <c r="AB167" s="7">
        <f>IF(X167="rub",U167,U167*'Курс доллара'!$C$5)</f>
        <v>1383</v>
      </c>
      <c r="AC167" s="7">
        <f>IF(X167="rub",V167,V167*'Курс доллара'!$F$5)</f>
        <v>2075</v>
      </c>
      <c r="AD167" s="7" t="str">
        <f t="shared" si="5"/>
        <v>мсфо</v>
      </c>
      <c r="AE167" s="4" t="s">
        <v>143</v>
      </c>
    </row>
    <row r="168" spans="2:31" ht="12.75">
      <c r="B168" s="2" t="s">
        <v>41</v>
      </c>
      <c r="C168" s="1" t="s">
        <v>119</v>
      </c>
      <c r="D168" s="1">
        <v>2008</v>
      </c>
      <c r="E168" s="1">
        <v>316056016</v>
      </c>
      <c r="F168" s="1">
        <v>206907847</v>
      </c>
      <c r="G168" s="1">
        <v>2107001000</v>
      </c>
      <c r="H168" s="1">
        <v>1529000000</v>
      </c>
      <c r="I168" s="1">
        <v>15568</v>
      </c>
      <c r="J168" s="1">
        <v>1066</v>
      </c>
      <c r="K168" s="1">
        <v>54885</v>
      </c>
      <c r="L168" s="1">
        <v>37674</v>
      </c>
      <c r="M168" s="1">
        <v>18240</v>
      </c>
      <c r="N168" s="17">
        <f t="shared" si="6"/>
        <v>0.04058501884588841</v>
      </c>
      <c r="O168" s="1">
        <v>2.494834</v>
      </c>
      <c r="P168" s="1">
        <v>24022</v>
      </c>
      <c r="Q168" s="1">
        <v>44324</v>
      </c>
      <c r="R168" s="7">
        <v>7357</v>
      </c>
      <c r="S168" s="7">
        <v>5775</v>
      </c>
      <c r="T168" s="7">
        <f t="shared" si="4"/>
        <v>13132</v>
      </c>
      <c r="U168" s="7">
        <v>1109</v>
      </c>
      <c r="V168" s="7">
        <f>1798+294+38</f>
        <v>2130</v>
      </c>
      <c r="W168" s="4" t="s">
        <v>144</v>
      </c>
      <c r="X168" s="4" t="s">
        <v>143</v>
      </c>
      <c r="Y168" s="7">
        <f>IF(X168="rub",R168,R168*'Курс доллара'!$F$6)</f>
        <v>7357</v>
      </c>
      <c r="Z168" s="7">
        <f>IF(X168="rub",S168,S168*'Курс доллара'!$F$6)</f>
        <v>5775</v>
      </c>
      <c r="AA168" s="7">
        <f>IF(X168="rub",T168,T168*'Курс доллара'!$F$6)</f>
        <v>13132</v>
      </c>
      <c r="AB168" s="7">
        <f>IF(X168="rub",U168,U168*'Курс доллара'!$C$6)</f>
        <v>1109</v>
      </c>
      <c r="AC168" s="7">
        <f>IF(X168="rub",V168,V168*'Курс доллара'!$F$6)</f>
        <v>2130</v>
      </c>
      <c r="AD168" s="7" t="str">
        <f t="shared" si="5"/>
        <v>мсфо</v>
      </c>
      <c r="AE168" s="4" t="s">
        <v>143</v>
      </c>
    </row>
    <row r="169" spans="2:31" ht="12.75">
      <c r="B169" s="2" t="s">
        <v>41</v>
      </c>
      <c r="C169" s="1" t="s">
        <v>119</v>
      </c>
      <c r="D169" s="1">
        <v>2009</v>
      </c>
      <c r="E169" s="1">
        <v>351787069</v>
      </c>
      <c r="F169" s="1">
        <v>230303268</v>
      </c>
      <c r="G169" s="1">
        <v>2345247000</v>
      </c>
      <c r="H169" s="1">
        <v>1974000000</v>
      </c>
      <c r="I169" s="1">
        <v>17081</v>
      </c>
      <c r="J169" s="1">
        <v>6534</v>
      </c>
      <c r="K169" s="1">
        <v>49625</v>
      </c>
      <c r="L169" s="1">
        <v>38036</v>
      </c>
      <c r="M169" s="1">
        <v>19753</v>
      </c>
      <c r="N169" s="17">
        <f t="shared" si="6"/>
        <v>0.05189820170364917</v>
      </c>
      <c r="O169" s="1">
        <v>3.33748</v>
      </c>
      <c r="P169" s="1">
        <v>18610</v>
      </c>
      <c r="Q169" s="1">
        <v>40667</v>
      </c>
      <c r="R169" s="7">
        <v>8127</v>
      </c>
      <c r="S169" s="7">
        <v>6136</v>
      </c>
      <c r="T169" s="7">
        <f t="shared" si="4"/>
        <v>14263</v>
      </c>
      <c r="U169" s="7">
        <v>532</v>
      </c>
      <c r="V169" s="7">
        <f>2635+363+37</f>
        <v>3035</v>
      </c>
      <c r="W169" s="4" t="s">
        <v>144</v>
      </c>
      <c r="X169" s="4" t="s">
        <v>143</v>
      </c>
      <c r="Y169" s="7">
        <f>IF(X169="rub",R169,R169*'Курс доллара'!$F$7)</f>
        <v>8127</v>
      </c>
      <c r="Z169" s="7">
        <f>IF(X169="rub",S169,S169*'Курс доллара'!$F$7)</f>
        <v>6136</v>
      </c>
      <c r="AA169" s="7">
        <f>IF(X169="rub",T169,T169*'Курс доллара'!$F$7)</f>
        <v>14263</v>
      </c>
      <c r="AB169" s="7">
        <f>IF(X169="rub",U169,U169*'Курс доллара'!$C$7)</f>
        <v>532</v>
      </c>
      <c r="AC169" s="7">
        <f>IF(X169="rub",V169,V169*'Курс доллара'!$F$7)</f>
        <v>3035</v>
      </c>
      <c r="AD169" s="7" t="str">
        <f t="shared" si="5"/>
        <v>мсфо</v>
      </c>
      <c r="AE169" s="4" t="s">
        <v>143</v>
      </c>
    </row>
    <row r="170" spans="2:31" ht="12.75">
      <c r="B170" s="2" t="s">
        <v>41</v>
      </c>
      <c r="C170" s="1" t="s">
        <v>119</v>
      </c>
      <c r="D170" s="1">
        <v>2010</v>
      </c>
      <c r="E170" s="1">
        <v>1320000000</v>
      </c>
      <c r="F170" s="1"/>
      <c r="G170" s="1"/>
      <c r="H170" s="1">
        <v>4248000000</v>
      </c>
      <c r="I170" s="1">
        <f>20339-184</f>
        <v>20155</v>
      </c>
      <c r="J170" s="1"/>
      <c r="K170" s="1">
        <v>50284</v>
      </c>
      <c r="L170" s="1">
        <v>39410</v>
      </c>
      <c r="M170" s="1">
        <v>22175</v>
      </c>
      <c r="N170" s="17">
        <f t="shared" si="6"/>
        <v>0.1077899010403451</v>
      </c>
      <c r="O170" s="1"/>
      <c r="P170" s="1">
        <f>11902+5051</f>
        <v>16953</v>
      </c>
      <c r="Q170" s="1">
        <f>41294+48</f>
        <v>41342</v>
      </c>
      <c r="R170" s="7">
        <v>7748</v>
      </c>
      <c r="S170" s="7">
        <v>7432</v>
      </c>
      <c r="T170" s="7">
        <f t="shared" si="4"/>
        <v>15180</v>
      </c>
      <c r="U170" s="7">
        <v>411</v>
      </c>
      <c r="V170" s="7">
        <v>2151</v>
      </c>
      <c r="W170" s="4" t="s">
        <v>144</v>
      </c>
      <c r="X170" s="4" t="s">
        <v>143</v>
      </c>
      <c r="Y170" s="7">
        <f>IF(X170="rub",R170,R170*'Курс доллара'!$F$8)</f>
        <v>7748</v>
      </c>
      <c r="Z170" s="7">
        <f>IF(X170="rub",S170,S170*'Курс доллара'!$F$8)</f>
        <v>7432</v>
      </c>
      <c r="AA170" s="7">
        <f>IF(X170="rub",T170,T170*'Курс доллара'!$F$8)</f>
        <v>15180</v>
      </c>
      <c r="AB170" s="7">
        <f>IF(X170="rub",U170,U170*'Курс доллара'!$C$8)</f>
        <v>411</v>
      </c>
      <c r="AC170" s="7">
        <f>IF(X170="rub",V170,V170*'Курс доллара'!$F$8)</f>
        <v>2151</v>
      </c>
      <c r="AD170" s="7" t="str">
        <f>W170</f>
        <v>мсфо</v>
      </c>
      <c r="AE170" s="4" t="s">
        <v>143</v>
      </c>
    </row>
    <row r="171" spans="1:31" ht="12.75">
      <c r="A171">
        <v>43</v>
      </c>
      <c r="B171" s="2" t="s">
        <v>42</v>
      </c>
      <c r="C171" s="1" t="s">
        <v>99</v>
      </c>
      <c r="D171" s="1">
        <v>2007</v>
      </c>
      <c r="E171" s="1">
        <v>3522000000</v>
      </c>
      <c r="F171" s="1" t="s">
        <v>122</v>
      </c>
      <c r="G171" s="1">
        <v>6665000000</v>
      </c>
      <c r="H171" s="1">
        <v>5306000000</v>
      </c>
      <c r="I171" s="1">
        <v>27658</v>
      </c>
      <c r="J171" s="1">
        <v>-3754</v>
      </c>
      <c r="K171" s="1">
        <v>42182</v>
      </c>
      <c r="L171" s="1">
        <v>22981</v>
      </c>
      <c r="M171" s="1">
        <v>27728.57</v>
      </c>
      <c r="N171" s="17">
        <f t="shared" si="6"/>
        <v>0.23088638440450807</v>
      </c>
      <c r="O171" s="1">
        <v>12.28259</v>
      </c>
      <c r="P171" s="1">
        <v>6130</v>
      </c>
      <c r="Q171" s="1">
        <v>34144</v>
      </c>
      <c r="R171" s="7">
        <f>2098+28</f>
        <v>2126</v>
      </c>
      <c r="S171" s="7">
        <v>7121</v>
      </c>
      <c r="T171" s="7">
        <f t="shared" si="4"/>
        <v>9247</v>
      </c>
      <c r="U171" s="7">
        <v>783</v>
      </c>
      <c r="V171" s="7">
        <f>246+36</f>
        <v>282</v>
      </c>
      <c r="W171" s="4" t="s">
        <v>144</v>
      </c>
      <c r="X171" s="4" t="s">
        <v>143</v>
      </c>
      <c r="Y171" s="7">
        <f>IF(X171="rub",R171,R171*'Курс доллара'!$F$5)</f>
        <v>2126</v>
      </c>
      <c r="Z171" s="7">
        <f>IF(X171="rub",S171,S171*'Курс доллара'!$F$5)</f>
        <v>7121</v>
      </c>
      <c r="AA171" s="7">
        <f>IF(X171="rub",T171,T171*'Курс доллара'!$F$5)</f>
        <v>9247</v>
      </c>
      <c r="AB171" s="7">
        <f>IF(X171="rub",U171,U171*'Курс доллара'!$C$5)</f>
        <v>783</v>
      </c>
      <c r="AC171" s="7">
        <f>IF(X171="rub",V171,V171*'Курс доллара'!$F$5)</f>
        <v>282</v>
      </c>
      <c r="AD171" s="7" t="str">
        <f t="shared" si="5"/>
        <v>мсфо</v>
      </c>
      <c r="AE171" s="4" t="s">
        <v>143</v>
      </c>
    </row>
    <row r="172" spans="2:31" ht="12.75">
      <c r="B172" s="2" t="s">
        <v>42</v>
      </c>
      <c r="C172" s="1" t="s">
        <v>99</v>
      </c>
      <c r="D172" s="1">
        <v>2008</v>
      </c>
      <c r="E172" s="1">
        <v>3835000000</v>
      </c>
      <c r="F172" s="1" t="s">
        <v>122</v>
      </c>
      <c r="G172" s="1">
        <v>29193000000</v>
      </c>
      <c r="H172" s="1">
        <v>17683000000</v>
      </c>
      <c r="I172" s="1">
        <v>40157</v>
      </c>
      <c r="J172" s="1">
        <v>14608</v>
      </c>
      <c r="K172" s="1">
        <v>99591</v>
      </c>
      <c r="L172" s="1">
        <v>55402</v>
      </c>
      <c r="M172" s="1">
        <v>40290.62</v>
      </c>
      <c r="N172" s="17">
        <f t="shared" si="6"/>
        <v>0.31917620302516153</v>
      </c>
      <c r="O172" s="1">
        <v>23.32884</v>
      </c>
      <c r="P172" s="1">
        <v>51676</v>
      </c>
      <c r="Q172" s="1">
        <v>38399</v>
      </c>
      <c r="R172" s="7">
        <f>2192+62</f>
        <v>2254</v>
      </c>
      <c r="S172" s="7">
        <v>35053</v>
      </c>
      <c r="T172" s="7">
        <f t="shared" si="4"/>
        <v>37307</v>
      </c>
      <c r="U172" s="7">
        <v>3991</v>
      </c>
      <c r="V172" s="7">
        <f>2869+11</f>
        <v>2880</v>
      </c>
      <c r="W172" s="4" t="s">
        <v>144</v>
      </c>
      <c r="X172" s="4" t="s">
        <v>143</v>
      </c>
      <c r="Y172" s="7">
        <f>IF(X172="rub",R172,R172*'Курс доллара'!$F$6)</f>
        <v>2254</v>
      </c>
      <c r="Z172" s="7">
        <f>IF(X172="rub",S172,S172*'Курс доллара'!$F$6)</f>
        <v>35053</v>
      </c>
      <c r="AA172" s="7">
        <f>IF(X172="rub",T172,T172*'Курс доллара'!$F$6)</f>
        <v>37307</v>
      </c>
      <c r="AB172" s="7">
        <f>IF(X172="rub",U172,U172*'Курс доллара'!$C$6)</f>
        <v>3991</v>
      </c>
      <c r="AC172" s="7">
        <f>IF(X172="rub",V172,V172*'Курс доллара'!$F$6)</f>
        <v>2880</v>
      </c>
      <c r="AD172" s="7" t="str">
        <f t="shared" si="5"/>
        <v>мсфо</v>
      </c>
      <c r="AE172" s="4" t="s">
        <v>143</v>
      </c>
    </row>
    <row r="173" spans="2:31" ht="12.75">
      <c r="B173" s="2" t="s">
        <v>42</v>
      </c>
      <c r="C173" s="1" t="s">
        <v>99</v>
      </c>
      <c r="D173" s="1">
        <v>2009</v>
      </c>
      <c r="E173" s="1">
        <v>509000000</v>
      </c>
      <c r="F173" s="1" t="s">
        <v>122</v>
      </c>
      <c r="G173" s="1">
        <v>13043000000</v>
      </c>
      <c r="H173" s="1">
        <v>10518000000</v>
      </c>
      <c r="I173" s="1">
        <v>48512</v>
      </c>
      <c r="J173" s="1">
        <v>7505</v>
      </c>
      <c r="K173" s="1">
        <v>106466</v>
      </c>
      <c r="L173" s="1">
        <v>33994</v>
      </c>
      <c r="M173" s="1">
        <v>48583.62</v>
      </c>
      <c r="N173" s="17">
        <f t="shared" si="6"/>
        <v>0.3094075425075013</v>
      </c>
      <c r="O173" s="1">
        <v>9.678875</v>
      </c>
      <c r="P173" s="1">
        <v>49019</v>
      </c>
      <c r="Q173" s="1">
        <v>40669</v>
      </c>
      <c r="R173" s="7">
        <f>2995+32</f>
        <v>3027</v>
      </c>
      <c r="S173" s="7">
        <v>18420</v>
      </c>
      <c r="T173" s="7">
        <f t="shared" si="4"/>
        <v>21447</v>
      </c>
      <c r="U173" s="7">
        <v>3483</v>
      </c>
      <c r="V173" s="7">
        <f>258+4</f>
        <v>262</v>
      </c>
      <c r="W173" s="4" t="s">
        <v>144</v>
      </c>
      <c r="X173" s="4" t="s">
        <v>143</v>
      </c>
      <c r="Y173" s="7">
        <f>IF(X173="rub",R173,R173*'Курс доллара'!$F$7)</f>
        <v>3027</v>
      </c>
      <c r="Z173" s="7">
        <f>IF(X173="rub",S173,S173*'Курс доллара'!$F$7)</f>
        <v>18420</v>
      </c>
      <c r="AA173" s="7">
        <f>IF(X173="rub",T173,T173*'Курс доллара'!$F$7)</f>
        <v>21447</v>
      </c>
      <c r="AB173" s="7">
        <f>IF(X173="rub",U173,U173*'Курс доллара'!$C$7)</f>
        <v>3483</v>
      </c>
      <c r="AC173" s="7">
        <f>IF(X173="rub",V173,V173*'Курс доллара'!$F$7)</f>
        <v>262</v>
      </c>
      <c r="AD173" s="7" t="str">
        <f t="shared" si="5"/>
        <v>мсфо</v>
      </c>
      <c r="AE173" s="4" t="s">
        <v>143</v>
      </c>
    </row>
    <row r="174" spans="2:31" ht="12.75">
      <c r="B174" s="2" t="s">
        <v>42</v>
      </c>
      <c r="C174" s="1" t="s">
        <v>99</v>
      </c>
      <c r="D174" s="1">
        <v>2010</v>
      </c>
      <c r="E174" s="1"/>
      <c r="F174" s="1"/>
      <c r="G174" s="1"/>
      <c r="H174" s="1">
        <v>11532000000</v>
      </c>
      <c r="I174" s="1">
        <f>58336-475</f>
        <v>57861</v>
      </c>
      <c r="J174" s="1"/>
      <c r="K174" s="1">
        <v>112817</v>
      </c>
      <c r="L174" s="1">
        <v>39025</v>
      </c>
      <c r="M174" s="1">
        <v>58063</v>
      </c>
      <c r="N174" s="17">
        <f t="shared" si="6"/>
        <v>0.29550288276745673</v>
      </c>
      <c r="O174" s="1"/>
      <c r="P174" s="1">
        <f>31272+14274</f>
        <v>45546</v>
      </c>
      <c r="Q174" s="1">
        <v>36696</v>
      </c>
      <c r="R174" s="7">
        <f>3487+31</f>
        <v>3518</v>
      </c>
      <c r="S174" s="7">
        <v>15089</v>
      </c>
      <c r="T174" s="7">
        <f t="shared" si="4"/>
        <v>18607</v>
      </c>
      <c r="U174" s="7">
        <v>3961</v>
      </c>
      <c r="V174" s="7">
        <v>178</v>
      </c>
      <c r="W174" s="4" t="s">
        <v>144</v>
      </c>
      <c r="X174" s="4" t="s">
        <v>143</v>
      </c>
      <c r="Y174" s="7">
        <f>IF(X174="rub",R174,R174*'Курс доллара'!$F$8)</f>
        <v>3518</v>
      </c>
      <c r="Z174" s="7">
        <f>IF(X174="rub",S174,S174*'Курс доллара'!$F$8)</f>
        <v>15089</v>
      </c>
      <c r="AA174" s="7">
        <f>IF(X174="rub",T174,T174*'Курс доллара'!$F$8)</f>
        <v>18607</v>
      </c>
      <c r="AB174" s="7">
        <f>IF(X174="rub",U174,U174*'Курс доллара'!$C$8)</f>
        <v>3961</v>
      </c>
      <c r="AC174" s="7">
        <f>IF(X174="rub",V174,V174*'Курс доллара'!$F$8)</f>
        <v>178</v>
      </c>
      <c r="AD174" s="7" t="str">
        <f>W174</f>
        <v>мсфо</v>
      </c>
      <c r="AE174" s="4" t="s">
        <v>143</v>
      </c>
    </row>
    <row r="175" spans="1:31" ht="12.75">
      <c r="A175">
        <v>44</v>
      </c>
      <c r="B175" s="2" t="s">
        <v>43</v>
      </c>
      <c r="C175" s="1" t="s">
        <v>100</v>
      </c>
      <c r="D175" s="1">
        <v>2007</v>
      </c>
      <c r="E175" s="1">
        <v>856069568</v>
      </c>
      <c r="F175" s="1" t="s">
        <v>122</v>
      </c>
      <c r="G175" s="1">
        <v>3424328000</v>
      </c>
      <c r="H175" s="1" t="s">
        <v>122</v>
      </c>
      <c r="I175" s="1">
        <v>8207.517</v>
      </c>
      <c r="J175" s="1" t="s">
        <v>122</v>
      </c>
      <c r="K175" s="1">
        <v>16830.3</v>
      </c>
      <c r="L175" s="1">
        <v>23518.07</v>
      </c>
      <c r="M175" s="1">
        <v>9784.615</v>
      </c>
      <c r="N175" s="17">
        <f>G175/L175/1000000</f>
        <v>0.14560412482827034</v>
      </c>
      <c r="O175" s="1">
        <v>26.18664</v>
      </c>
      <c r="P175" s="1">
        <v>3985.196</v>
      </c>
      <c r="Q175" s="1">
        <v>5317.161</v>
      </c>
      <c r="R175" s="7">
        <v>295.267</v>
      </c>
      <c r="S175" s="7">
        <v>5198.577</v>
      </c>
      <c r="T175" s="7">
        <f aca="true" t="shared" si="7" ref="T175:T238">R175+S175</f>
        <v>5493.844</v>
      </c>
      <c r="U175" s="7">
        <v>4.693</v>
      </c>
      <c r="V175" s="7">
        <v>100.186</v>
      </c>
      <c r="W175" s="4" t="s">
        <v>139</v>
      </c>
      <c r="X175" s="4" t="s">
        <v>143</v>
      </c>
      <c r="Y175" s="7">
        <f>IF(X175="rub",R175,R175*'Курс доллара'!$F$5)</f>
        <v>295.267</v>
      </c>
      <c r="Z175" s="7">
        <f>IF(X175="rub",S175,S175*'Курс доллара'!$F$5)</f>
        <v>5198.577</v>
      </c>
      <c r="AA175" s="7">
        <f>IF(X175="rub",T175,T175*'Курс доллара'!$F$5)</f>
        <v>5493.844</v>
      </c>
      <c r="AB175" s="7">
        <f>IF(X175="rub",U175,U175*'Курс доллара'!$C$5)</f>
        <v>4.693</v>
      </c>
      <c r="AC175" s="7">
        <f>IF(X175="rub",V175,V175*'Курс доллара'!$F$5)</f>
        <v>100.186</v>
      </c>
      <c r="AD175" s="7" t="str">
        <f aca="true" t="shared" si="8" ref="AD175:AD237">W175</f>
        <v>рсбу</v>
      </c>
      <c r="AE175" s="4" t="s">
        <v>143</v>
      </c>
    </row>
    <row r="176" spans="2:31" ht="12.75">
      <c r="B176" s="2" t="s">
        <v>43</v>
      </c>
      <c r="C176" s="1" t="s">
        <v>100</v>
      </c>
      <c r="D176" s="1">
        <v>2008</v>
      </c>
      <c r="E176" s="1">
        <v>337567659</v>
      </c>
      <c r="F176" s="1" t="s">
        <v>122</v>
      </c>
      <c r="G176" s="1">
        <v>843851000</v>
      </c>
      <c r="H176" s="1" t="s">
        <v>122</v>
      </c>
      <c r="I176" s="1">
        <v>8213.565</v>
      </c>
      <c r="J176" s="1" t="s">
        <v>122</v>
      </c>
      <c r="K176" s="1">
        <v>19783.64</v>
      </c>
      <c r="L176" s="1">
        <v>26590.37</v>
      </c>
      <c r="M176" s="1">
        <v>9784.204</v>
      </c>
      <c r="N176" s="17">
        <f>G176/L176/1000000</f>
        <v>0.03173521090530143</v>
      </c>
      <c r="O176" s="1">
        <v>4.609451</v>
      </c>
      <c r="P176" s="1">
        <v>6963.884</v>
      </c>
      <c r="Q176" s="1">
        <v>5457.226</v>
      </c>
      <c r="R176" s="7">
        <v>318.374</v>
      </c>
      <c r="S176" s="7">
        <v>3008.384</v>
      </c>
      <c r="T176" s="7">
        <f t="shared" si="7"/>
        <v>3326.758</v>
      </c>
      <c r="U176" s="7">
        <v>7.174</v>
      </c>
      <c r="V176" s="7">
        <v>478.785</v>
      </c>
      <c r="W176" s="4" t="s">
        <v>139</v>
      </c>
      <c r="X176" s="4" t="s">
        <v>143</v>
      </c>
      <c r="Y176" s="7">
        <f>IF(X176="rub",R176,R176*'Курс доллара'!$F$6)</f>
        <v>318.374</v>
      </c>
      <c r="Z176" s="7">
        <f>IF(X176="rub",S176,S176*'Курс доллара'!$F$6)</f>
        <v>3008.384</v>
      </c>
      <c r="AA176" s="7">
        <f>IF(X176="rub",T176,T176*'Курс доллара'!$F$6)</f>
        <v>3326.758</v>
      </c>
      <c r="AB176" s="7">
        <f>IF(X176="rub",U176,U176*'Курс доллара'!$C$6)</f>
        <v>7.174</v>
      </c>
      <c r="AC176" s="7">
        <f>IF(X176="rub",V176,V176*'Курс доллара'!$F$6)</f>
        <v>478.785</v>
      </c>
      <c r="AD176" s="7" t="str">
        <f t="shared" si="8"/>
        <v>рсбу</v>
      </c>
      <c r="AE176" s="4" t="s">
        <v>143</v>
      </c>
    </row>
    <row r="177" spans="2:31" ht="12.75">
      <c r="B177" s="2" t="s">
        <v>43</v>
      </c>
      <c r="C177" s="1" t="s">
        <v>100</v>
      </c>
      <c r="D177" s="1">
        <v>2009</v>
      </c>
      <c r="E177" s="1" t="s">
        <v>122</v>
      </c>
      <c r="F177" s="1" t="s">
        <v>122</v>
      </c>
      <c r="G177" s="1">
        <v>-144759000</v>
      </c>
      <c r="H177" s="1" t="s">
        <v>122</v>
      </c>
      <c r="I177" s="1">
        <v>7733.82</v>
      </c>
      <c r="J177" s="1" t="s">
        <v>122</v>
      </c>
      <c r="K177" s="1">
        <v>19840.45</v>
      </c>
      <c r="L177" s="1">
        <v>18366.99</v>
      </c>
      <c r="M177" s="1">
        <v>9301.877</v>
      </c>
      <c r="N177" s="17">
        <f>G177/L177/1000000</f>
        <v>-0.007881476496693251</v>
      </c>
      <c r="O177" s="1">
        <v>-0.7306616</v>
      </c>
      <c r="P177" s="1">
        <v>7696.301</v>
      </c>
      <c r="Q177" s="1">
        <v>5571.032</v>
      </c>
      <c r="R177" s="7">
        <v>339.471</v>
      </c>
      <c r="S177" s="7">
        <v>987.117</v>
      </c>
      <c r="T177" s="7">
        <f t="shared" si="7"/>
        <v>1326.588</v>
      </c>
      <c r="U177" s="7">
        <v>27.985</v>
      </c>
      <c r="V177" s="7">
        <v>1039.337</v>
      </c>
      <c r="W177" s="4" t="s">
        <v>139</v>
      </c>
      <c r="X177" s="4" t="s">
        <v>143</v>
      </c>
      <c r="Y177" s="7">
        <f>IF(X177="rub",R177,R177*'Курс доллара'!$F$7)</f>
        <v>339.471</v>
      </c>
      <c r="Z177" s="7">
        <f>IF(X177="rub",S177,S177*'Курс доллара'!$F$7)</f>
        <v>987.117</v>
      </c>
      <c r="AA177" s="7">
        <f>IF(X177="rub",T177,T177*'Курс доллара'!$F$7)</f>
        <v>1326.588</v>
      </c>
      <c r="AB177" s="7">
        <f>IF(X177="rub",U177,U177*'Курс доллара'!$C$7)</f>
        <v>27.985</v>
      </c>
      <c r="AC177" s="7">
        <f>IF(X177="rub",V177,V177*'Курс доллара'!$F$7)</f>
        <v>1039.337</v>
      </c>
      <c r="AD177" s="7" t="str">
        <f t="shared" si="8"/>
        <v>рсбу</v>
      </c>
      <c r="AE177" s="4" t="s">
        <v>143</v>
      </c>
    </row>
    <row r="178" spans="2:31" ht="12.75">
      <c r="B178" s="2" t="s">
        <v>43</v>
      </c>
      <c r="C178" s="1" t="s">
        <v>100</v>
      </c>
      <c r="D178" s="1">
        <v>2010</v>
      </c>
      <c r="E178" s="1"/>
      <c r="F178" s="1"/>
      <c r="G178" s="1">
        <v>-706288000</v>
      </c>
      <c r="H178" s="1"/>
      <c r="I178" s="1">
        <v>7153.494</v>
      </c>
      <c r="J178" s="1"/>
      <c r="K178" s="1">
        <v>20213.03</v>
      </c>
      <c r="L178" s="1">
        <v>21920.061</v>
      </c>
      <c r="M178" s="1">
        <v>8595.589</v>
      </c>
      <c r="N178" s="17">
        <f>G178/L178/1000000</f>
        <v>-0.03222107821689</v>
      </c>
      <c r="O178" s="1"/>
      <c r="P178" s="1">
        <f>359.859+5996.614</f>
        <v>6356.473</v>
      </c>
      <c r="Q178" s="1">
        <f>4228.353+791.298</f>
        <v>5019.651</v>
      </c>
      <c r="R178" s="7">
        <v>416.424</v>
      </c>
      <c r="S178" s="7">
        <v>757.672</v>
      </c>
      <c r="T178" s="7">
        <f t="shared" si="7"/>
        <v>1174.096</v>
      </c>
      <c r="U178" s="7">
        <v>0.851</v>
      </c>
      <c r="V178" s="7">
        <v>1005.206</v>
      </c>
      <c r="W178" s="4" t="s">
        <v>139</v>
      </c>
      <c r="X178" s="4" t="s">
        <v>143</v>
      </c>
      <c r="Y178" s="7">
        <f>IF(X178="rub",R178,R178*'Курс доллара'!$F$8)</f>
        <v>416.424</v>
      </c>
      <c r="Z178" s="7">
        <f>IF(X178="rub",S178,S178*'Курс доллара'!$F$8)</f>
        <v>757.672</v>
      </c>
      <c r="AA178" s="7">
        <f>IF(X178="rub",T178,T178*'Курс доллара'!$F$8)</f>
        <v>1174.096</v>
      </c>
      <c r="AB178" s="7">
        <f>IF(X178="rub",U178,U178*'Курс доллара'!$C$8)</f>
        <v>0.851</v>
      </c>
      <c r="AC178" s="7">
        <f>IF(X178="rub",V178,V178*'Курс доллара'!$F$8)</f>
        <v>1005.206</v>
      </c>
      <c r="AD178" s="7" t="str">
        <f>W178</f>
        <v>рсбу</v>
      </c>
      <c r="AE178" s="4" t="s">
        <v>143</v>
      </c>
    </row>
    <row r="179" spans="1:31" ht="12.75">
      <c r="A179">
        <v>45</v>
      </c>
      <c r="B179" s="2" t="s">
        <v>44</v>
      </c>
      <c r="C179" s="1" t="s">
        <v>101</v>
      </c>
      <c r="D179" s="1">
        <v>2007</v>
      </c>
      <c r="E179" s="1">
        <v>1000000000</v>
      </c>
      <c r="F179" s="1" t="s">
        <v>122</v>
      </c>
      <c r="G179" s="1">
        <v>1159123000</v>
      </c>
      <c r="H179" s="1">
        <v>3369000000</v>
      </c>
      <c r="I179" s="1">
        <v>6001</v>
      </c>
      <c r="J179" s="1">
        <v>-2288</v>
      </c>
      <c r="K179" s="1">
        <v>38032</v>
      </c>
      <c r="L179" s="1">
        <v>49136</v>
      </c>
      <c r="M179" s="1">
        <v>13988</v>
      </c>
      <c r="N179" s="17">
        <f t="shared" si="6"/>
        <v>0.06856479973949853</v>
      </c>
      <c r="O179" s="1">
        <v>7.846743</v>
      </c>
      <c r="P179" s="1">
        <v>8637</v>
      </c>
      <c r="Q179" s="1">
        <v>18731</v>
      </c>
      <c r="R179" s="7">
        <f>944+224+37</f>
        <v>1205</v>
      </c>
      <c r="S179" s="7">
        <v>4996</v>
      </c>
      <c r="T179" s="7">
        <f t="shared" si="7"/>
        <v>6201</v>
      </c>
      <c r="U179" s="7">
        <v>2030</v>
      </c>
      <c r="V179" s="7">
        <v>501</v>
      </c>
      <c r="W179" s="4" t="s">
        <v>144</v>
      </c>
      <c r="X179" s="4" t="s">
        <v>143</v>
      </c>
      <c r="Y179" s="7">
        <f>IF(X179="rub",R179,R179*'Курс доллара'!$F$5)</f>
        <v>1205</v>
      </c>
      <c r="Z179" s="7">
        <f>IF(X179="rub",S179,S179*'Курс доллара'!$F$5)</f>
        <v>4996</v>
      </c>
      <c r="AA179" s="7">
        <f>IF(X179="rub",T179,T179*'Курс доллара'!$F$5)</f>
        <v>6201</v>
      </c>
      <c r="AB179" s="7">
        <f>IF(X179="rub",U179,U179*'Курс доллара'!$C$5)</f>
        <v>2030</v>
      </c>
      <c r="AC179" s="7">
        <f>IF(X179="rub",V179,V179*'Курс доллара'!$F$5)</f>
        <v>501</v>
      </c>
      <c r="AD179" s="7" t="str">
        <f t="shared" si="8"/>
        <v>мсфо</v>
      </c>
      <c r="AE179" s="4" t="s">
        <v>143</v>
      </c>
    </row>
    <row r="180" spans="2:31" ht="12.75">
      <c r="B180" s="2" t="s">
        <v>44</v>
      </c>
      <c r="C180" s="1" t="s">
        <v>101</v>
      </c>
      <c r="D180" s="1">
        <v>2008</v>
      </c>
      <c r="E180" s="1">
        <v>548000000</v>
      </c>
      <c r="F180" s="1" t="s">
        <v>122</v>
      </c>
      <c r="G180" s="1">
        <v>2162303000</v>
      </c>
      <c r="H180" s="1">
        <v>-376000000</v>
      </c>
      <c r="I180" s="1">
        <v>2454</v>
      </c>
      <c r="J180" s="1">
        <v>-12065</v>
      </c>
      <c r="K180" s="1">
        <v>63450</v>
      </c>
      <c r="L180" s="1">
        <v>61630</v>
      </c>
      <c r="M180" s="1">
        <v>10480</v>
      </c>
      <c r="N180" s="17">
        <f t="shared" si="6"/>
        <v>-0.006100924874249554</v>
      </c>
      <c r="O180" s="1">
        <v>-1.880136</v>
      </c>
      <c r="P180" s="1">
        <v>23185</v>
      </c>
      <c r="Q180" s="1">
        <v>23122</v>
      </c>
      <c r="R180" s="7">
        <f>1289+88+240</f>
        <v>1617</v>
      </c>
      <c r="S180" s="7">
        <v>3967</v>
      </c>
      <c r="T180" s="7">
        <f t="shared" si="7"/>
        <v>5584</v>
      </c>
      <c r="U180" s="7">
        <v>899</v>
      </c>
      <c r="V180" s="7">
        <v>1291</v>
      </c>
      <c r="W180" s="4" t="s">
        <v>144</v>
      </c>
      <c r="X180" s="4" t="s">
        <v>143</v>
      </c>
      <c r="Y180" s="7">
        <f>IF(X180="rub",R180,R180*'Курс доллара'!$F$6)</f>
        <v>1617</v>
      </c>
      <c r="Z180" s="7">
        <f>IF(X180="rub",S180,S180*'Курс доллара'!$F$6)</f>
        <v>3967</v>
      </c>
      <c r="AA180" s="7">
        <f>IF(X180="rub",T180,T180*'Курс доллара'!$F$6)</f>
        <v>5584</v>
      </c>
      <c r="AB180" s="7">
        <f>IF(X180="rub",U180,U180*'Курс доллара'!$C$6)</f>
        <v>899</v>
      </c>
      <c r="AC180" s="7">
        <f>IF(X180="rub",V180,V180*'Курс доллара'!$F$6)</f>
        <v>1291</v>
      </c>
      <c r="AD180" s="7" t="str">
        <f t="shared" si="8"/>
        <v>мсфо</v>
      </c>
      <c r="AE180" s="4" t="s">
        <v>143</v>
      </c>
    </row>
    <row r="181" spans="2:31" ht="12.75">
      <c r="B181" s="2" t="s">
        <v>44</v>
      </c>
      <c r="C181" s="1" t="s">
        <v>101</v>
      </c>
      <c r="D181" s="1">
        <v>2009</v>
      </c>
      <c r="E181" s="1" t="s">
        <v>122</v>
      </c>
      <c r="F181" s="1" t="s">
        <v>122</v>
      </c>
      <c r="G181" s="1">
        <v>-5021487000</v>
      </c>
      <c r="H181" s="1">
        <v>-5011000000</v>
      </c>
      <c r="I181" s="1">
        <v>-2229</v>
      </c>
      <c r="J181" s="1">
        <v>-368</v>
      </c>
      <c r="K181" s="1">
        <v>52872</v>
      </c>
      <c r="L181" s="1">
        <v>34743</v>
      </c>
      <c r="M181" s="1">
        <v>5076</v>
      </c>
      <c r="N181" s="17">
        <f t="shared" si="6"/>
        <v>-0.14423049247330397</v>
      </c>
      <c r="O181" s="1">
        <v>-8.643249</v>
      </c>
      <c r="P181" s="1">
        <v>27195</v>
      </c>
      <c r="Q181" s="1">
        <v>23039</v>
      </c>
      <c r="R181" s="7">
        <f>1486+127+265</f>
        <v>1878</v>
      </c>
      <c r="S181" s="7">
        <v>-1569</v>
      </c>
      <c r="T181" s="7">
        <f t="shared" si="7"/>
        <v>309</v>
      </c>
      <c r="U181" s="7">
        <v>3990</v>
      </c>
      <c r="V181" s="7">
        <v>3596</v>
      </c>
      <c r="W181" s="4" t="s">
        <v>144</v>
      </c>
      <c r="X181" s="4" t="s">
        <v>143</v>
      </c>
      <c r="Y181" s="7">
        <f>IF(X181="rub",R181,R181*'Курс доллара'!$F$7)</f>
        <v>1878</v>
      </c>
      <c r="Z181" s="7">
        <f>IF(X181="rub",S181,S181*'Курс доллара'!$F$7)</f>
        <v>-1569</v>
      </c>
      <c r="AA181" s="7">
        <f>IF(X181="rub",T181,T181*'Курс доллара'!$F$7)</f>
        <v>309</v>
      </c>
      <c r="AB181" s="7">
        <f>IF(X181="rub",U181,U181*'Курс доллара'!$C$7)</f>
        <v>3990</v>
      </c>
      <c r="AC181" s="7">
        <f>IF(X181="rub",V181,V181*'Курс доллара'!$F$7)</f>
        <v>3596</v>
      </c>
      <c r="AD181" s="7" t="str">
        <f t="shared" si="8"/>
        <v>мсфо</v>
      </c>
      <c r="AE181" s="4" t="s">
        <v>143</v>
      </c>
    </row>
    <row r="182" spans="2:31" ht="12.75">
      <c r="B182" s="2" t="s">
        <v>44</v>
      </c>
      <c r="C182" s="1" t="s">
        <v>101</v>
      </c>
      <c r="D182" s="1">
        <v>2010</v>
      </c>
      <c r="E182" s="1">
        <v>646000000</v>
      </c>
      <c r="F182" s="1"/>
      <c r="G182" s="1"/>
      <c r="H182" s="1">
        <v>-1241000000</v>
      </c>
      <c r="I182" s="1">
        <v>-3144</v>
      </c>
      <c r="J182" s="1"/>
      <c r="K182" s="1">
        <v>53413</v>
      </c>
      <c r="L182" s="1">
        <v>55266</v>
      </c>
      <c r="M182" s="1">
        <v>3239</v>
      </c>
      <c r="N182" s="17">
        <f t="shared" si="6"/>
        <v>-0.022455035645785836</v>
      </c>
      <c r="O182" s="1"/>
      <c r="P182" s="1">
        <f>17053+7478</f>
        <v>24531</v>
      </c>
      <c r="Q182" s="1">
        <f>23223</f>
        <v>23223</v>
      </c>
      <c r="R182" s="7">
        <f>1518+220+195</f>
        <v>1933</v>
      </c>
      <c r="S182" s="7">
        <v>2267</v>
      </c>
      <c r="T182" s="7">
        <f t="shared" si="7"/>
        <v>4200</v>
      </c>
      <c r="U182" s="7">
        <v>3089</v>
      </c>
      <c r="V182" s="7">
        <v>3239</v>
      </c>
      <c r="W182" s="4" t="s">
        <v>144</v>
      </c>
      <c r="X182" s="4" t="s">
        <v>143</v>
      </c>
      <c r="Y182" s="7">
        <f>IF(X182="rub",R182,R182*'Курс доллара'!$F$8)</f>
        <v>1933</v>
      </c>
      <c r="Z182" s="7">
        <f>IF(X182="rub",S182,S182*'Курс доллара'!$F$8)</f>
        <v>2267</v>
      </c>
      <c r="AA182" s="7">
        <f>IF(X182="rub",T182,T182*'Курс доллара'!$F$8)</f>
        <v>4200</v>
      </c>
      <c r="AB182" s="7">
        <f>IF(X182="rub",U182,U182*'Курс доллара'!$C$8)</f>
        <v>3089</v>
      </c>
      <c r="AC182" s="7">
        <f>IF(X182="rub",V182,V182*'Курс доллара'!$F$8)</f>
        <v>3239</v>
      </c>
      <c r="AD182" s="7" t="str">
        <f aca="true" t="shared" si="9" ref="AD182:AD194">W182</f>
        <v>мсфо</v>
      </c>
      <c r="AE182" s="4" t="s">
        <v>143</v>
      </c>
    </row>
    <row r="183" spans="1:31" ht="12.75">
      <c r="A183">
        <v>46</v>
      </c>
      <c r="B183" s="2" t="s">
        <v>45</v>
      </c>
      <c r="C183" s="1" t="s">
        <v>102</v>
      </c>
      <c r="D183" s="1">
        <v>2007</v>
      </c>
      <c r="E183" s="1">
        <v>11700012130</v>
      </c>
      <c r="F183" s="1" t="s">
        <v>122</v>
      </c>
      <c r="G183" s="1">
        <v>11931725000</v>
      </c>
      <c r="H183" s="1" t="s">
        <v>122</v>
      </c>
      <c r="I183" s="1">
        <v>31328.85</v>
      </c>
      <c r="J183" s="1" t="s">
        <v>122</v>
      </c>
      <c r="K183" s="1">
        <v>32552.25</v>
      </c>
      <c r="L183" s="1">
        <v>21483.11</v>
      </c>
      <c r="M183" s="1">
        <v>31825.74</v>
      </c>
      <c r="N183" s="17">
        <f>G183/L183/1000000</f>
        <v>0.5554002656040024</v>
      </c>
      <c r="O183" s="1">
        <v>44.66213</v>
      </c>
      <c r="P183" s="1">
        <v>0</v>
      </c>
      <c r="Q183" s="1">
        <v>18120.55</v>
      </c>
      <c r="R183" s="7">
        <v>395.257</v>
      </c>
      <c r="S183" s="7">
        <v>14417.756</v>
      </c>
      <c r="T183" s="7">
        <f t="shared" si="7"/>
        <v>14813.012999999999</v>
      </c>
      <c r="U183" s="7">
        <v>235.207</v>
      </c>
      <c r="V183" s="7">
        <v>0</v>
      </c>
      <c r="W183" s="4" t="s">
        <v>139</v>
      </c>
      <c r="X183" s="4" t="s">
        <v>143</v>
      </c>
      <c r="Y183" s="7">
        <f>IF(X183="rub",R183,R183*'Курс доллара'!$F$7)</f>
        <v>395.257</v>
      </c>
      <c r="Z183" s="7">
        <f>IF(X183="rub",S183,S183*'Курс доллара'!$F$7)</f>
        <v>14417.756</v>
      </c>
      <c r="AA183" s="7">
        <f>IF(X183="rub",T183,T183*'Курс доллара'!$F$7)</f>
        <v>14813.012999999999</v>
      </c>
      <c r="AB183" s="7">
        <f>IF(X183="rub",U183,U183*'Курс доллара'!$C$7)</f>
        <v>235.207</v>
      </c>
      <c r="AC183" s="7">
        <f>IF(X183="rub",V183,V183*'Курс доллара'!$F$7)</f>
        <v>0</v>
      </c>
      <c r="AD183" s="7" t="str">
        <f t="shared" si="9"/>
        <v>рсбу</v>
      </c>
      <c r="AE183" s="4" t="s">
        <v>143</v>
      </c>
    </row>
    <row r="184" spans="2:31" ht="12.75">
      <c r="B184" s="2" t="s">
        <v>45</v>
      </c>
      <c r="C184" s="1" t="s">
        <v>102</v>
      </c>
      <c r="D184" s="1">
        <v>2008</v>
      </c>
      <c r="E184" s="1">
        <v>21565000444</v>
      </c>
      <c r="F184" s="1" t="s">
        <v>122</v>
      </c>
      <c r="G184" s="1">
        <v>11998388000</v>
      </c>
      <c r="H184" s="1" t="s">
        <v>122</v>
      </c>
      <c r="I184" s="1">
        <v>23834.76</v>
      </c>
      <c r="J184" s="1" t="s">
        <v>122</v>
      </c>
      <c r="K184" s="1">
        <v>25273.38</v>
      </c>
      <c r="L184" s="1">
        <v>21828.93</v>
      </c>
      <c r="M184" s="1">
        <v>24326.68</v>
      </c>
      <c r="N184" s="17">
        <f aca="true" t="shared" si="10" ref="N184:N193">G184/L184/1000000</f>
        <v>0.5496553427034674</v>
      </c>
      <c r="O184" s="1">
        <v>41.49851</v>
      </c>
      <c r="P184" s="1">
        <v>0</v>
      </c>
      <c r="Q184" s="1">
        <v>9506.862</v>
      </c>
      <c r="R184" s="7">
        <v>503.717</v>
      </c>
      <c r="S184" s="7">
        <v>14311.889</v>
      </c>
      <c r="T184" s="7">
        <f t="shared" si="7"/>
        <v>14815.606</v>
      </c>
      <c r="U184" s="7">
        <v>194.637</v>
      </c>
      <c r="V184" s="7">
        <v>0</v>
      </c>
      <c r="W184" s="4" t="s">
        <v>139</v>
      </c>
      <c r="X184" s="4" t="s">
        <v>143</v>
      </c>
      <c r="Y184" s="7">
        <f>IF(X184="rub",R184,R184*'Курс доллара'!$F$7)</f>
        <v>503.717</v>
      </c>
      <c r="Z184" s="7">
        <f>IF(X184="rub",S184,S184*'Курс доллара'!$F$7)</f>
        <v>14311.889</v>
      </c>
      <c r="AA184" s="7">
        <f>IF(X184="rub",T184,T184*'Курс доллара'!$F$7)</f>
        <v>14815.606</v>
      </c>
      <c r="AB184" s="7">
        <f>IF(X184="rub",U184,U184*'Курс доллара'!$C$7)</f>
        <v>194.637</v>
      </c>
      <c r="AC184" s="7">
        <f>IF(X184="rub",V184,V184*'Курс доллара'!$F$7)</f>
        <v>0</v>
      </c>
      <c r="AD184" s="7" t="str">
        <f t="shared" si="9"/>
        <v>рсбу</v>
      </c>
      <c r="AE184" s="4" t="s">
        <v>143</v>
      </c>
    </row>
    <row r="185" spans="2:31" ht="12.75">
      <c r="B185" s="2" t="s">
        <v>45</v>
      </c>
      <c r="C185" s="1" t="s">
        <v>102</v>
      </c>
      <c r="D185" s="1">
        <v>2009</v>
      </c>
      <c r="E185" s="1">
        <v>2955032969</v>
      </c>
      <c r="F185" s="1" t="s">
        <v>122</v>
      </c>
      <c r="G185" s="1">
        <v>5669717000</v>
      </c>
      <c r="H185" s="1" t="s">
        <v>122</v>
      </c>
      <c r="I185" s="1">
        <v>14316.48</v>
      </c>
      <c r="J185" s="1" t="s">
        <v>122</v>
      </c>
      <c r="K185" s="1">
        <v>15840.61</v>
      </c>
      <c r="L185" s="1">
        <v>15205.29</v>
      </c>
      <c r="M185" s="1">
        <v>14799.95</v>
      </c>
      <c r="N185" s="17">
        <f t="shared" si="10"/>
        <v>0.37287792603758296</v>
      </c>
      <c r="O185" s="1">
        <v>27.58047</v>
      </c>
      <c r="P185" s="1">
        <v>0</v>
      </c>
      <c r="Q185" s="1">
        <v>11279.68</v>
      </c>
      <c r="R185" s="7">
        <v>933.606</v>
      </c>
      <c r="S185" s="7">
        <v>6618.539</v>
      </c>
      <c r="T185" s="7">
        <f t="shared" si="7"/>
        <v>7552.1449999999995</v>
      </c>
      <c r="U185" s="7">
        <v>52.297</v>
      </c>
      <c r="V185" s="7">
        <v>0</v>
      </c>
      <c r="W185" s="4" t="s">
        <v>139</v>
      </c>
      <c r="X185" s="4" t="s">
        <v>143</v>
      </c>
      <c r="Y185" s="7">
        <f>IF(X185="rub",R185,R185*'Курс доллара'!$F$7)</f>
        <v>933.606</v>
      </c>
      <c r="Z185" s="7">
        <f>IF(X185="rub",S185,S185*'Курс доллара'!$F$7)</f>
        <v>6618.539</v>
      </c>
      <c r="AA185" s="7">
        <f>IF(X185="rub",T185,T185*'Курс доллара'!$F$7)</f>
        <v>7552.1449999999995</v>
      </c>
      <c r="AB185" s="7">
        <f>IF(X185="rub",U185,U185*'Курс доллара'!$C$7)</f>
        <v>52.297</v>
      </c>
      <c r="AC185" s="7">
        <f>IF(X185="rub",V185,V185*'Курс доллара'!$F$7)</f>
        <v>0</v>
      </c>
      <c r="AD185" s="7" t="str">
        <f t="shared" si="9"/>
        <v>рсбу</v>
      </c>
      <c r="AE185" s="4" t="s">
        <v>143</v>
      </c>
    </row>
    <row r="186" spans="2:31" ht="12.75">
      <c r="B186" s="2" t="s">
        <v>45</v>
      </c>
      <c r="C186" s="1" t="s">
        <v>102</v>
      </c>
      <c r="D186" s="1">
        <v>2010</v>
      </c>
      <c r="E186" s="1"/>
      <c r="F186" s="1"/>
      <c r="G186" s="1"/>
      <c r="H186" s="1"/>
      <c r="I186" s="1"/>
      <c r="J186" s="1"/>
      <c r="K186" s="1"/>
      <c r="L186" s="1"/>
      <c r="M186" s="1"/>
      <c r="N186" s="17"/>
      <c r="O186" s="1"/>
      <c r="P186" s="1"/>
      <c r="Q186" s="1"/>
      <c r="R186" s="7"/>
      <c r="S186" s="7"/>
      <c r="T186" s="7">
        <f t="shared" si="7"/>
        <v>0</v>
      </c>
      <c r="U186" s="7"/>
      <c r="V186" s="7"/>
      <c r="W186" s="4"/>
      <c r="X186" s="4"/>
      <c r="Y186" s="7">
        <f>IF(X186="rub",R186,R186*'Курс доллара'!$F$7)</f>
        <v>0</v>
      </c>
      <c r="Z186" s="7">
        <f>IF(X186="rub",S186,S186*'Курс доллара'!$F$7)</f>
        <v>0</v>
      </c>
      <c r="AA186" s="7">
        <f>IF(X186="rub",T186,T186*'Курс доллара'!$F$7)</f>
        <v>0</v>
      </c>
      <c r="AB186" s="7">
        <f>IF(X186="rub",U186,U186*'Курс доллара'!$C$7)</f>
        <v>0</v>
      </c>
      <c r="AC186" s="7">
        <f>IF(X186="rub",V186,V186*'Курс доллара'!$F$7)</f>
        <v>0</v>
      </c>
      <c r="AD186" s="7">
        <f t="shared" si="9"/>
        <v>0</v>
      </c>
      <c r="AE186" s="4" t="s">
        <v>143</v>
      </c>
    </row>
    <row r="187" spans="1:31" ht="12.75">
      <c r="A187">
        <v>47</v>
      </c>
      <c r="B187" s="2" t="s">
        <v>46</v>
      </c>
      <c r="C187" s="1" t="s">
        <v>103</v>
      </c>
      <c r="D187" s="1">
        <v>2007</v>
      </c>
      <c r="E187" s="1">
        <v>21436000000</v>
      </c>
      <c r="F187" s="1">
        <v>6316000000</v>
      </c>
      <c r="G187" s="1">
        <v>88627000000</v>
      </c>
      <c r="H187" s="1" t="s">
        <v>122</v>
      </c>
      <c r="I187" s="1">
        <v>387890.9</v>
      </c>
      <c r="J187" s="1" t="s">
        <v>122</v>
      </c>
      <c r="K187" s="1">
        <v>1025577</v>
      </c>
      <c r="L187" s="1">
        <v>617278.2</v>
      </c>
      <c r="M187" s="1">
        <v>945350.4</v>
      </c>
      <c r="N187" s="17">
        <f t="shared" si="10"/>
        <v>0.1435770775640546</v>
      </c>
      <c r="O187" s="1">
        <v>7.989584</v>
      </c>
      <c r="P187" s="1">
        <v>197.7</v>
      </c>
      <c r="Q187" s="1">
        <v>630230.8</v>
      </c>
      <c r="R187" s="7">
        <v>73127.285</v>
      </c>
      <c r="S187" s="7">
        <v>144908.12</v>
      </c>
      <c r="T187" s="7">
        <f t="shared" si="7"/>
        <v>218035.405</v>
      </c>
      <c r="U187" s="7">
        <v>11507.533</v>
      </c>
      <c r="V187" s="7">
        <v>1.301</v>
      </c>
      <c r="W187" s="4" t="s">
        <v>139</v>
      </c>
      <c r="X187" s="4" t="s">
        <v>143</v>
      </c>
      <c r="Y187" s="7">
        <f>IF(X187="rub",R187,R187*'Курс доллара'!$F$7)</f>
        <v>73127.285</v>
      </c>
      <c r="Z187" s="7">
        <f>IF(X187="rub",S187,S187*'Курс доллара'!$F$7)</f>
        <v>144908.12</v>
      </c>
      <c r="AA187" s="7">
        <f>IF(X187="rub",T187,T187*'Курс доллара'!$F$7)</f>
        <v>218035.405</v>
      </c>
      <c r="AB187" s="7">
        <f>IF(X187="rub",U187,U187*'Курс доллара'!$C$7)</f>
        <v>11507.533</v>
      </c>
      <c r="AC187" s="7">
        <f>IF(X187="rub",V187,V187*'Курс доллара'!$F$7)</f>
        <v>1.301</v>
      </c>
      <c r="AD187" s="7" t="str">
        <f t="shared" si="9"/>
        <v>рсбу</v>
      </c>
      <c r="AE187" s="4" t="s">
        <v>143</v>
      </c>
    </row>
    <row r="188" spans="2:31" ht="12.75">
      <c r="B188" s="2" t="s">
        <v>46</v>
      </c>
      <c r="C188" s="1" t="s">
        <v>103</v>
      </c>
      <c r="D188" s="1">
        <v>2008</v>
      </c>
      <c r="E188" s="1">
        <v>21436000000</v>
      </c>
      <c r="F188" s="1">
        <v>10213000000</v>
      </c>
      <c r="G188" s="1">
        <v>143917000000</v>
      </c>
      <c r="H188" s="1" t="s">
        <v>122</v>
      </c>
      <c r="I188" s="1">
        <v>511801.1</v>
      </c>
      <c r="J188" s="1" t="s">
        <v>122</v>
      </c>
      <c r="K188" s="1">
        <v>1158275</v>
      </c>
      <c r="L188" s="1">
        <v>576571.6</v>
      </c>
      <c r="M188" s="1">
        <v>1086375</v>
      </c>
      <c r="N188" s="17">
        <f t="shared" si="10"/>
        <v>0.24960820130578754</v>
      </c>
      <c r="O188" s="1">
        <v>12.47949</v>
      </c>
      <c r="P188" s="1">
        <v>276.747</v>
      </c>
      <c r="Q188" s="1">
        <v>614929.6</v>
      </c>
      <c r="R188" s="7">
        <v>76587.698</v>
      </c>
      <c r="S188" s="7">
        <v>113114.851</v>
      </c>
      <c r="T188" s="7">
        <f t="shared" si="7"/>
        <v>189702.549</v>
      </c>
      <c r="U188" s="7">
        <v>17646.713</v>
      </c>
      <c r="V188" s="7">
        <v>0.087</v>
      </c>
      <c r="W188" s="4" t="s">
        <v>139</v>
      </c>
      <c r="X188" s="4" t="s">
        <v>143</v>
      </c>
      <c r="Y188" s="7">
        <f>IF(X188="rub",R188,R188*'Курс доллара'!$F$7)</f>
        <v>76587.698</v>
      </c>
      <c r="Z188" s="7">
        <f>IF(X188="rub",S188,S188*'Курс доллара'!$F$7)</f>
        <v>113114.851</v>
      </c>
      <c r="AA188" s="7">
        <f>IF(X188="rub",T188,T188*'Курс доллара'!$F$7)</f>
        <v>189702.549</v>
      </c>
      <c r="AB188" s="7">
        <f>IF(X188="rub",U188,U188*'Курс доллара'!$C$7)</f>
        <v>17646.713</v>
      </c>
      <c r="AC188" s="7">
        <f>IF(X188="rub",V188,V188*'Курс доллара'!$F$7)</f>
        <v>0.087</v>
      </c>
      <c r="AD188" s="7" t="str">
        <f t="shared" si="9"/>
        <v>рсбу</v>
      </c>
      <c r="AE188" s="4" t="s">
        <v>143</v>
      </c>
    </row>
    <row r="189" spans="2:31" ht="12.75">
      <c r="B189" s="2" t="s">
        <v>46</v>
      </c>
      <c r="C189" s="1" t="s">
        <v>103</v>
      </c>
      <c r="D189" s="1">
        <v>2009</v>
      </c>
      <c r="E189" s="1">
        <v>16077000000</v>
      </c>
      <c r="F189" s="1">
        <v>8078000000</v>
      </c>
      <c r="G189" s="1">
        <v>113873000000</v>
      </c>
      <c r="H189" s="1" t="s">
        <v>122</v>
      </c>
      <c r="I189" s="1">
        <v>596986.7</v>
      </c>
      <c r="J189" s="1" t="s">
        <v>122</v>
      </c>
      <c r="K189" s="1">
        <v>1305492</v>
      </c>
      <c r="L189" s="1">
        <v>526609.6</v>
      </c>
      <c r="M189" s="1">
        <v>1225186</v>
      </c>
      <c r="N189" s="17">
        <f t="shared" si="10"/>
        <v>0.21623798730596633</v>
      </c>
      <c r="O189" s="1">
        <v>8.782021</v>
      </c>
      <c r="P189" s="1">
        <v>20.692</v>
      </c>
      <c r="Q189" s="1">
        <v>733857.9</v>
      </c>
      <c r="R189" s="7">
        <v>90517.43</v>
      </c>
      <c r="S189" s="7">
        <v>128182.105</v>
      </c>
      <c r="T189" s="7">
        <f t="shared" si="7"/>
        <v>218699.53499999997</v>
      </c>
      <c r="U189" s="7">
        <v>15809.015</v>
      </c>
      <c r="V189" s="7">
        <v>311.04</v>
      </c>
      <c r="W189" s="4" t="s">
        <v>139</v>
      </c>
      <c r="X189" s="4" t="s">
        <v>143</v>
      </c>
      <c r="Y189" s="7">
        <f>IF(X189="rub",R189,R189*'Курс доллара'!$F$7)</f>
        <v>90517.43</v>
      </c>
      <c r="Z189" s="7">
        <f>IF(X189="rub",S189,S189*'Курс доллара'!$F$7)</f>
        <v>128182.105</v>
      </c>
      <c r="AA189" s="7">
        <f>IF(X189="rub",T189,T189*'Курс доллара'!$F$7)</f>
        <v>218699.53499999997</v>
      </c>
      <c r="AB189" s="7">
        <f>IF(X189="rub",U189,U189*'Курс доллара'!$C$7)</f>
        <v>15809.015</v>
      </c>
      <c r="AC189" s="7">
        <f>IF(X189="rub",V189,V189*'Курс доллара'!$F$7)</f>
        <v>311.04</v>
      </c>
      <c r="AD189" s="7" t="str">
        <f t="shared" si="9"/>
        <v>рсбу</v>
      </c>
      <c r="AE189" s="4" t="s">
        <v>143</v>
      </c>
    </row>
    <row r="190" spans="2:31" ht="12.75">
      <c r="B190" s="2" t="s">
        <v>46</v>
      </c>
      <c r="C190" s="1" t="s">
        <v>103</v>
      </c>
      <c r="D190" s="1">
        <v>2010</v>
      </c>
      <c r="E190" s="1"/>
      <c r="F190" s="1"/>
      <c r="G190" s="1"/>
      <c r="H190" s="1"/>
      <c r="I190" s="1"/>
      <c r="J190" s="1"/>
      <c r="K190" s="1"/>
      <c r="L190" s="1"/>
      <c r="M190" s="1"/>
      <c r="N190" s="17"/>
      <c r="O190" s="1"/>
      <c r="P190" s="1"/>
      <c r="Q190" s="1"/>
      <c r="R190" s="7"/>
      <c r="S190" s="7"/>
      <c r="T190" s="7">
        <f t="shared" si="7"/>
        <v>0</v>
      </c>
      <c r="U190" s="7"/>
      <c r="V190" s="7"/>
      <c r="W190" s="4"/>
      <c r="X190" s="4"/>
      <c r="Y190" s="7">
        <f>IF(X190="rub",R190,R190*'Курс доллара'!$F$7)</f>
        <v>0</v>
      </c>
      <c r="Z190" s="7">
        <f>IF(X190="rub",S190,S190*'Курс доллара'!$F$7)</f>
        <v>0</v>
      </c>
      <c r="AA190" s="7">
        <f>IF(X190="rub",T190,T190*'Курс доллара'!$F$7)</f>
        <v>0</v>
      </c>
      <c r="AB190" s="7">
        <f>IF(X190="rub",U190,U190*'Курс доллара'!$C$7)</f>
        <v>0</v>
      </c>
      <c r="AC190" s="7">
        <f>IF(X190="rub",V190,V190*'Курс доллара'!$F$7)</f>
        <v>0</v>
      </c>
      <c r="AD190" s="7">
        <f t="shared" si="9"/>
        <v>0</v>
      </c>
      <c r="AE190" s="4" t="s">
        <v>143</v>
      </c>
    </row>
    <row r="191" spans="1:31" ht="12.75">
      <c r="A191">
        <v>48</v>
      </c>
      <c r="B191" s="2" t="s">
        <v>47</v>
      </c>
      <c r="C191" s="1" t="s">
        <v>104</v>
      </c>
      <c r="D191" s="1">
        <v>2007</v>
      </c>
      <c r="E191" s="1" t="s">
        <v>122</v>
      </c>
      <c r="F191" s="1" t="s">
        <v>122</v>
      </c>
      <c r="G191" s="1" t="s">
        <v>122</v>
      </c>
      <c r="H191" s="1" t="s">
        <v>122</v>
      </c>
      <c r="I191" s="1">
        <v>1121.7559999999999</v>
      </c>
      <c r="J191" s="1" t="s">
        <v>122</v>
      </c>
      <c r="K191" s="1">
        <v>14466.38</v>
      </c>
      <c r="L191" s="1">
        <v>3841.766</v>
      </c>
      <c r="M191" s="1">
        <v>12822.44</v>
      </c>
      <c r="N191" s="17"/>
      <c r="O191" s="1" t="s">
        <v>122</v>
      </c>
      <c r="P191" s="1">
        <v>0</v>
      </c>
      <c r="Q191" s="1">
        <v>5492.456</v>
      </c>
      <c r="R191" s="7">
        <v>4661</v>
      </c>
      <c r="S191" s="7">
        <v>4971</v>
      </c>
      <c r="T191" s="7">
        <f t="shared" si="7"/>
        <v>9632</v>
      </c>
      <c r="U191" s="7">
        <v>5681</v>
      </c>
      <c r="V191" s="7">
        <v>3078</v>
      </c>
      <c r="W191" s="4" t="s">
        <v>144</v>
      </c>
      <c r="X191" s="4" t="s">
        <v>143</v>
      </c>
      <c r="Y191" s="7">
        <f>IF(X191="rub",R191,R191*'Курс доллара'!$F$7)</f>
        <v>4661</v>
      </c>
      <c r="Z191" s="7">
        <f>IF(X191="rub",S191,S191*'Курс доллара'!$F$7)</f>
        <v>4971</v>
      </c>
      <c r="AA191" s="7">
        <f>IF(X191="rub",T191,T191*'Курс доллара'!$F$7)</f>
        <v>9632</v>
      </c>
      <c r="AB191" s="7">
        <f>IF(X191="rub",U191,U191*'Курс доллара'!$C$7)</f>
        <v>5681</v>
      </c>
      <c r="AC191" s="7">
        <f>IF(X191="rub",V191,V191*'Курс доллара'!$F$7)</f>
        <v>3078</v>
      </c>
      <c r="AD191" s="7" t="str">
        <f t="shared" si="9"/>
        <v>мсфо</v>
      </c>
      <c r="AE191" s="4" t="s">
        <v>143</v>
      </c>
    </row>
    <row r="192" spans="2:31" ht="12.75">
      <c r="B192" s="2" t="s">
        <v>47</v>
      </c>
      <c r="C192" s="1" t="s">
        <v>104</v>
      </c>
      <c r="D192" s="1">
        <v>2008</v>
      </c>
      <c r="E192" s="1">
        <v>3000000000</v>
      </c>
      <c r="F192" s="1" t="s">
        <v>122</v>
      </c>
      <c r="G192" s="1">
        <v>2636979000</v>
      </c>
      <c r="H192" s="1" t="s">
        <v>122</v>
      </c>
      <c r="I192" s="1">
        <v>3484.062</v>
      </c>
      <c r="J192" s="1" t="s">
        <v>122</v>
      </c>
      <c r="K192" s="1">
        <v>17883.35</v>
      </c>
      <c r="L192" s="1">
        <v>9384.073</v>
      </c>
      <c r="M192" s="1">
        <v>15184.75</v>
      </c>
      <c r="N192" s="17">
        <f t="shared" si="10"/>
        <v>0.2810058063273804</v>
      </c>
      <c r="O192" s="1">
        <v>18.68543</v>
      </c>
      <c r="P192" s="1">
        <v>0</v>
      </c>
      <c r="Q192" s="1">
        <v>5302.973</v>
      </c>
      <c r="R192" s="7">
        <v>11621</v>
      </c>
      <c r="S192" s="7">
        <v>3784</v>
      </c>
      <c r="T192" s="7">
        <f t="shared" si="7"/>
        <v>15405</v>
      </c>
      <c r="U192" s="7">
        <v>14849</v>
      </c>
      <c r="V192" s="7">
        <v>3145</v>
      </c>
      <c r="W192" s="4" t="s">
        <v>144</v>
      </c>
      <c r="X192" s="4" t="s">
        <v>143</v>
      </c>
      <c r="Y192" s="7">
        <f>IF(X192="rub",R192,R192*'Курс доллара'!$F$7)</f>
        <v>11621</v>
      </c>
      <c r="Z192" s="7">
        <f>IF(X192="rub",S192,S192*'Курс доллара'!$F$7)</f>
        <v>3784</v>
      </c>
      <c r="AA192" s="7">
        <f>IF(X192="rub",T192,T192*'Курс доллара'!$F$7)</f>
        <v>15405</v>
      </c>
      <c r="AB192" s="7">
        <f>IF(X192="rub",U192,U192*'Курс доллара'!$C$7)</f>
        <v>14849</v>
      </c>
      <c r="AC192" s="7">
        <f>IF(X192="rub",V192,V192*'Курс доллара'!$F$7)</f>
        <v>3145</v>
      </c>
      <c r="AD192" s="7" t="str">
        <f t="shared" si="9"/>
        <v>мсфо</v>
      </c>
      <c r="AE192" s="4" t="s">
        <v>143</v>
      </c>
    </row>
    <row r="193" spans="2:31" ht="12.75">
      <c r="B193" s="2" t="s">
        <v>47</v>
      </c>
      <c r="C193" s="1" t="s">
        <v>104</v>
      </c>
      <c r="D193" s="1">
        <v>2009</v>
      </c>
      <c r="E193" s="1">
        <v>2815000000</v>
      </c>
      <c r="F193" s="1" t="s">
        <v>122</v>
      </c>
      <c r="G193" s="1">
        <v>3104689000</v>
      </c>
      <c r="H193" s="1" t="s">
        <v>122</v>
      </c>
      <c r="I193" s="1">
        <v>-264.873</v>
      </c>
      <c r="J193" s="1" t="s">
        <v>122</v>
      </c>
      <c r="K193" s="1">
        <v>17073.95</v>
      </c>
      <c r="L193" s="1">
        <v>8193.305</v>
      </c>
      <c r="M193" s="1">
        <v>11435.81</v>
      </c>
      <c r="N193" s="17">
        <f t="shared" si="10"/>
        <v>0.3789299922314622</v>
      </c>
      <c r="O193" s="1">
        <v>15.08686</v>
      </c>
      <c r="P193" s="1">
        <v>0</v>
      </c>
      <c r="Q193" s="1">
        <v>4756.267</v>
      </c>
      <c r="R193" s="7">
        <v>11965</v>
      </c>
      <c r="S193" s="7">
        <v>14137</v>
      </c>
      <c r="T193" s="7">
        <f t="shared" si="7"/>
        <v>26102</v>
      </c>
      <c r="U193" s="7">
        <v>13196</v>
      </c>
      <c r="V193" s="7">
        <v>7934</v>
      </c>
      <c r="W193" s="4" t="s">
        <v>144</v>
      </c>
      <c r="X193" s="4" t="s">
        <v>143</v>
      </c>
      <c r="Y193" s="7">
        <f>IF(X193="rub",R193,R193*'Курс доллара'!$F$7)</f>
        <v>11965</v>
      </c>
      <c r="Z193" s="7">
        <f>IF(X193="rub",S193,S193*'Курс доллара'!$F$7)</f>
        <v>14137</v>
      </c>
      <c r="AA193" s="7">
        <f>IF(X193="rub",T193,T193*'Курс доллара'!$F$7)</f>
        <v>26102</v>
      </c>
      <c r="AB193" s="7">
        <f>IF(X193="rub",U193,U193*'Курс доллара'!$C$7)</f>
        <v>13196</v>
      </c>
      <c r="AC193" s="7">
        <f>IF(X193="rub",V193,V193*'Курс доллара'!$F$7)</f>
        <v>7934</v>
      </c>
      <c r="AD193" s="7" t="str">
        <f t="shared" si="9"/>
        <v>мсфо</v>
      </c>
      <c r="AE193" s="4" t="s">
        <v>143</v>
      </c>
    </row>
    <row r="194" spans="2:31" ht="12.75">
      <c r="B194" s="2" t="s">
        <v>47</v>
      </c>
      <c r="C194" s="1" t="s">
        <v>104</v>
      </c>
      <c r="D194" s="1">
        <v>2010</v>
      </c>
      <c r="E194" s="1"/>
      <c r="F194" s="1"/>
      <c r="G194" s="1"/>
      <c r="H194" s="1"/>
      <c r="I194" s="1"/>
      <c r="J194" s="1"/>
      <c r="K194" s="1"/>
      <c r="L194" s="1"/>
      <c r="M194" s="1"/>
      <c r="N194" s="17"/>
      <c r="O194" s="1"/>
      <c r="P194" s="1"/>
      <c r="Q194" s="1"/>
      <c r="R194" s="7"/>
      <c r="S194" s="7"/>
      <c r="T194" s="7">
        <f t="shared" si="7"/>
        <v>0</v>
      </c>
      <c r="U194" s="7"/>
      <c r="V194" s="7"/>
      <c r="W194" s="4"/>
      <c r="X194" s="4"/>
      <c r="Y194" s="7">
        <f>IF(X194="rub",R194,R194*'Курс доллара'!$F$7)</f>
        <v>0</v>
      </c>
      <c r="Z194" s="7">
        <f>IF(X194="rub",S194,S194*'Курс доллара'!$F$7)</f>
        <v>0</v>
      </c>
      <c r="AA194" s="7">
        <f>IF(X194="rub",T194,T194*'Курс доллара'!$F$7)</f>
        <v>0</v>
      </c>
      <c r="AB194" s="7">
        <f>IF(X194="rub",U194,U194*'Курс доллара'!$C$7)</f>
        <v>0</v>
      </c>
      <c r="AC194" s="7">
        <f>IF(X194="rub",V194,V194*'Курс доллара'!$F$7)</f>
        <v>0</v>
      </c>
      <c r="AD194" s="7">
        <f t="shared" si="9"/>
        <v>0</v>
      </c>
      <c r="AE194" s="4" t="s">
        <v>143</v>
      </c>
    </row>
    <row r="195" spans="1:31" ht="12.75">
      <c r="A195">
        <v>49</v>
      </c>
      <c r="B195" s="2" t="s">
        <v>48</v>
      </c>
      <c r="C195" s="1" t="s">
        <v>105</v>
      </c>
      <c r="D195" s="1">
        <v>2007</v>
      </c>
      <c r="E195" s="1">
        <v>12311000000</v>
      </c>
      <c r="F195" s="1">
        <v>833000000</v>
      </c>
      <c r="G195" s="1">
        <v>43811618000</v>
      </c>
      <c r="H195" s="1">
        <v>43279000000</v>
      </c>
      <c r="I195" s="1">
        <v>166458</v>
      </c>
      <c r="J195" s="1">
        <v>14384</v>
      </c>
      <c r="K195" s="1">
        <v>370219</v>
      </c>
      <c r="L195" s="1">
        <v>356276</v>
      </c>
      <c r="M195" s="1">
        <v>263911</v>
      </c>
      <c r="N195" s="17">
        <f t="shared" si="6"/>
        <v>0.12147604666045426</v>
      </c>
      <c r="O195" s="1">
        <v>12.30943</v>
      </c>
      <c r="P195" s="1">
        <v>14326</v>
      </c>
      <c r="Q195" s="1">
        <v>201474</v>
      </c>
      <c r="R195" s="7">
        <v>10379</v>
      </c>
      <c r="S195" s="7">
        <f>356276-299548</f>
        <v>56728</v>
      </c>
      <c r="T195" s="7">
        <f t="shared" si="7"/>
        <v>67107</v>
      </c>
      <c r="U195" s="7">
        <v>13010</v>
      </c>
      <c r="V195" s="7">
        <v>60</v>
      </c>
      <c r="W195" s="4" t="s">
        <v>144</v>
      </c>
      <c r="X195" s="4" t="s">
        <v>143</v>
      </c>
      <c r="Y195" s="7">
        <f>IF(X195="rub",R195,R195*'Курс доллара'!$F$5)</f>
        <v>10379</v>
      </c>
      <c r="Z195" s="7">
        <f>IF(X195="rub",S195,S195*'Курс доллара'!$F$5)</f>
        <v>56728</v>
      </c>
      <c r="AA195" s="7">
        <f>IF(X195="rub",T195,T195*'Курс доллара'!$F$5)</f>
        <v>67107</v>
      </c>
      <c r="AB195" s="7">
        <f>IF(X195="rub",U195,U195*'Курс доллара'!$C$5)</f>
        <v>13010</v>
      </c>
      <c r="AC195" s="7">
        <f>IF(X195="rub",V195,V195*'Курс доллара'!$F$5)</f>
        <v>60</v>
      </c>
      <c r="AD195" s="7" t="str">
        <f t="shared" si="8"/>
        <v>мсфо</v>
      </c>
      <c r="AE195" s="4" t="s">
        <v>143</v>
      </c>
    </row>
    <row r="196" spans="2:31" ht="12.75">
      <c r="B196" s="2" t="s">
        <v>48</v>
      </c>
      <c r="C196" s="1" t="s">
        <v>105</v>
      </c>
      <c r="D196" s="1">
        <v>2008</v>
      </c>
      <c r="E196" s="1">
        <v>9631000000</v>
      </c>
      <c r="F196" s="1">
        <v>652000000</v>
      </c>
      <c r="G196" s="1">
        <v>34303676000</v>
      </c>
      <c r="H196" s="1">
        <v>8413000000</v>
      </c>
      <c r="I196" s="1">
        <v>161778</v>
      </c>
      <c r="J196" s="1">
        <v>-12589</v>
      </c>
      <c r="K196" s="1">
        <v>392980</v>
      </c>
      <c r="L196" s="1">
        <v>444332</v>
      </c>
      <c r="M196" s="1">
        <v>260128</v>
      </c>
      <c r="N196" s="17">
        <f aca="true" t="shared" si="11" ref="N196:N238">H196/L196/1000000</f>
        <v>0.018934040312198988</v>
      </c>
      <c r="O196" s="1">
        <v>2.033811</v>
      </c>
      <c r="P196" s="1">
        <v>51192</v>
      </c>
      <c r="Q196" s="1">
        <v>252555</v>
      </c>
      <c r="R196" s="7">
        <v>10139</v>
      </c>
      <c r="S196" s="7">
        <f>444332-410129</f>
        <v>34203</v>
      </c>
      <c r="T196" s="7">
        <f t="shared" si="7"/>
        <v>44342</v>
      </c>
      <c r="U196" s="7">
        <v>13418</v>
      </c>
      <c r="V196" s="7">
        <v>580</v>
      </c>
      <c r="W196" s="4" t="s">
        <v>144</v>
      </c>
      <c r="X196" s="4" t="s">
        <v>143</v>
      </c>
      <c r="Y196" s="7">
        <f>IF(X196="rub",R196,R196*'Курс доллара'!$F$6)</f>
        <v>10139</v>
      </c>
      <c r="Z196" s="7">
        <f>IF(X196="rub",S196,S196*'Курс доллара'!$F$6)</f>
        <v>34203</v>
      </c>
      <c r="AA196" s="7">
        <f>IF(X196="rub",T196,T196*'Курс доллара'!$F$6)</f>
        <v>44342</v>
      </c>
      <c r="AB196" s="7">
        <f>IF(X196="rub",U196,U196*'Курс доллара'!$C$6)</f>
        <v>13418</v>
      </c>
      <c r="AC196" s="7">
        <f>IF(X196="rub",V196,V196*'Курс доллара'!$F$6)</f>
        <v>580</v>
      </c>
      <c r="AD196" s="7" t="str">
        <f t="shared" si="8"/>
        <v>мсфо</v>
      </c>
      <c r="AE196" s="4" t="s">
        <v>143</v>
      </c>
    </row>
    <row r="197" spans="2:31" ht="12.75">
      <c r="B197" s="2" t="s">
        <v>48</v>
      </c>
      <c r="C197" s="1" t="s">
        <v>105</v>
      </c>
      <c r="D197" s="1">
        <v>2009</v>
      </c>
      <c r="E197" s="1">
        <v>14285000000</v>
      </c>
      <c r="F197" s="1">
        <v>967000000</v>
      </c>
      <c r="G197" s="1">
        <v>50873463000</v>
      </c>
      <c r="H197" s="1">
        <v>56970000000</v>
      </c>
      <c r="I197" s="1">
        <v>207461</v>
      </c>
      <c r="J197" s="1">
        <v>-22651</v>
      </c>
      <c r="K197" s="1">
        <v>495742</v>
      </c>
      <c r="L197" s="1">
        <v>380648</v>
      </c>
      <c r="M197" s="1">
        <v>305375</v>
      </c>
      <c r="N197" s="17">
        <f t="shared" si="11"/>
        <v>0.14966583300056746</v>
      </c>
      <c r="O197" s="1">
        <v>12.01823</v>
      </c>
      <c r="P197" s="1">
        <v>88001</v>
      </c>
      <c r="Q197" s="1">
        <v>339391</v>
      </c>
      <c r="R197" s="7">
        <v>11917</v>
      </c>
      <c r="S197" s="7">
        <f>380648-311939</f>
        <v>68709</v>
      </c>
      <c r="T197" s="7">
        <f t="shared" si="7"/>
        <v>80626</v>
      </c>
      <c r="U197" s="7">
        <v>12841</v>
      </c>
      <c r="V197" s="7">
        <v>626</v>
      </c>
      <c r="W197" s="4" t="s">
        <v>144</v>
      </c>
      <c r="X197" s="4" t="s">
        <v>143</v>
      </c>
      <c r="Y197" s="7">
        <f>IF(X197="rub",R197,R197*'Курс доллара'!$F$7)</f>
        <v>11917</v>
      </c>
      <c r="Z197" s="7">
        <f>IF(X197="rub",S197,S197*'Курс доллара'!$F$7)</f>
        <v>68709</v>
      </c>
      <c r="AA197" s="7">
        <f>IF(X197="rub",T197,T197*'Курс доллара'!$F$7)</f>
        <v>80626</v>
      </c>
      <c r="AB197" s="7">
        <f>IF(X197="rub",U197,U197*'Курс доллара'!$C$7)</f>
        <v>12841</v>
      </c>
      <c r="AC197" s="7">
        <f>IF(X197="rub",V197,V197*'Курс доллара'!$F$7)</f>
        <v>626</v>
      </c>
      <c r="AD197" s="7" t="str">
        <f t="shared" si="8"/>
        <v>мсфо</v>
      </c>
      <c r="AE197" s="4" t="s">
        <v>143</v>
      </c>
    </row>
    <row r="198" spans="2:31" ht="12.75">
      <c r="B198" s="2" t="s">
        <v>48</v>
      </c>
      <c r="C198" s="1" t="s">
        <v>105</v>
      </c>
      <c r="D198" s="1">
        <v>2010</v>
      </c>
      <c r="E198" s="1">
        <v>14943000000</v>
      </c>
      <c r="F198" s="1"/>
      <c r="G198" s="1"/>
      <c r="H198" s="1">
        <v>50648000000</v>
      </c>
      <c r="I198" s="1">
        <f>241005+1933-3275</f>
        <v>239663</v>
      </c>
      <c r="J198" s="1"/>
      <c r="K198" s="1">
        <v>567179</v>
      </c>
      <c r="L198" s="1">
        <v>468032</v>
      </c>
      <c r="M198" s="1">
        <v>338607</v>
      </c>
      <c r="N198" s="17">
        <f t="shared" si="11"/>
        <v>0.10821482291809108</v>
      </c>
      <c r="O198" s="1"/>
      <c r="P198" s="1">
        <f>34333+34+75021</f>
        <v>109388</v>
      </c>
      <c r="Q198" s="1">
        <v>393776</v>
      </c>
      <c r="R198" s="7">
        <v>12483</v>
      </c>
      <c r="S198" s="7">
        <f>468032-403935</f>
        <v>64097</v>
      </c>
      <c r="T198" s="7">
        <f t="shared" si="7"/>
        <v>76580</v>
      </c>
      <c r="U198" s="7">
        <v>8080</v>
      </c>
      <c r="V198" s="7">
        <v>483</v>
      </c>
      <c r="W198" s="4" t="s">
        <v>144</v>
      </c>
      <c r="X198" s="4" t="s">
        <v>143</v>
      </c>
      <c r="Y198" s="7">
        <f>IF(X198="rub",R198,R198*'Курс доллара'!$F$8)</f>
        <v>12483</v>
      </c>
      <c r="Z198" s="7">
        <f>IF(X198="rub",S198,S198*'Курс доллара'!$F$8)</f>
        <v>64097</v>
      </c>
      <c r="AA198" s="7">
        <f>IF(X198="rub",T198,T198*'Курс доллара'!$F$8)</f>
        <v>76580</v>
      </c>
      <c r="AB198" s="7">
        <f>IF(X198="rub",U198,U198*'Курс доллара'!$C$8)</f>
        <v>8080</v>
      </c>
      <c r="AC198" s="7">
        <f>IF(X198="rub",V198,V198*'Курс доллара'!$F$8)</f>
        <v>483</v>
      </c>
      <c r="AD198" s="7" t="str">
        <f>W198</f>
        <v>мсфо</v>
      </c>
      <c r="AE198" s="4" t="s">
        <v>143</v>
      </c>
    </row>
    <row r="199" spans="1:31" ht="12.75">
      <c r="A199">
        <v>50</v>
      </c>
      <c r="B199" s="2" t="s">
        <v>49</v>
      </c>
      <c r="C199" s="1" t="s">
        <v>106</v>
      </c>
      <c r="D199" s="1">
        <v>2007</v>
      </c>
      <c r="E199" s="1">
        <v>262008783</v>
      </c>
      <c r="F199" s="1" t="s">
        <v>122</v>
      </c>
      <c r="G199" s="1">
        <v>873101000</v>
      </c>
      <c r="H199" s="1">
        <v>749444578.4</v>
      </c>
      <c r="I199" s="1">
        <v>3223.921</v>
      </c>
      <c r="J199" s="1">
        <v>-1057.218</v>
      </c>
      <c r="K199" s="1">
        <v>10906.24</v>
      </c>
      <c r="L199" s="1">
        <v>4943.82</v>
      </c>
      <c r="M199" s="1">
        <v>5092.898</v>
      </c>
      <c r="N199" s="17">
        <f t="shared" si="11"/>
        <v>0.15159220570328208</v>
      </c>
      <c r="O199" s="1">
        <v>8.029274</v>
      </c>
      <c r="P199" s="1">
        <v>3176.07</v>
      </c>
      <c r="Q199" s="1">
        <v>9341.639</v>
      </c>
      <c r="R199" s="7">
        <f>26.152+1.075</f>
        <v>27.227</v>
      </c>
      <c r="S199" s="7">
        <v>46.326</v>
      </c>
      <c r="T199" s="7">
        <f t="shared" si="7"/>
        <v>73.553</v>
      </c>
      <c r="U199" s="7">
        <v>5.305</v>
      </c>
      <c r="V199" s="7">
        <v>5.415</v>
      </c>
      <c r="W199" s="4" t="s">
        <v>144</v>
      </c>
      <c r="X199" s="10" t="s">
        <v>142</v>
      </c>
      <c r="Y199" s="7">
        <f>IF(X199="rub",R199,R199*'Курс доллара'!$F$5)</f>
        <v>692.61812355</v>
      </c>
      <c r="Z199" s="7">
        <f>IF(X199="rub",S199,S199*'Курс доллара'!$F$5)</f>
        <v>1178.4708999</v>
      </c>
      <c r="AA199" s="7">
        <f>IF(X199="rub",T199,T199*'Курс доллара'!$F$5)</f>
        <v>1871.0890234499998</v>
      </c>
      <c r="AB199" s="7">
        <f>IF(X199="rub",U199,U199*'Курс доллара'!$C$5)</f>
        <v>130.217591</v>
      </c>
      <c r="AC199" s="7">
        <f>IF(X199="rub",V199,V199*'Курс доллара'!$F$5)</f>
        <v>137.75028975</v>
      </c>
      <c r="AD199" s="7" t="str">
        <f t="shared" si="8"/>
        <v>мсфо</v>
      </c>
      <c r="AE199" s="4" t="s">
        <v>143</v>
      </c>
    </row>
    <row r="200" spans="2:31" ht="12.75">
      <c r="B200" s="2" t="s">
        <v>49</v>
      </c>
      <c r="C200" s="1" t="s">
        <v>106</v>
      </c>
      <c r="D200" s="1">
        <v>2008</v>
      </c>
      <c r="E200" s="1">
        <v>210732601</v>
      </c>
      <c r="F200" s="1" t="s">
        <v>122</v>
      </c>
      <c r="G200" s="1">
        <v>702183000</v>
      </c>
      <c r="H200" s="1">
        <v>699018476.8000001</v>
      </c>
      <c r="I200" s="1">
        <v>3169.975</v>
      </c>
      <c r="J200" s="1">
        <v>-2086.907</v>
      </c>
      <c r="K200" s="1">
        <v>11835.71</v>
      </c>
      <c r="L200" s="1">
        <v>5304.252</v>
      </c>
      <c r="M200" s="1">
        <v>5400.236</v>
      </c>
      <c r="N200" s="17">
        <f t="shared" si="11"/>
        <v>0.13178455261929486</v>
      </c>
      <c r="O200" s="1">
        <v>5.63015</v>
      </c>
      <c r="P200" s="1">
        <v>3739.066</v>
      </c>
      <c r="Q200" s="1">
        <v>10372.54</v>
      </c>
      <c r="R200" s="7">
        <f>720.144+62.405</f>
        <v>782.549</v>
      </c>
      <c r="S200" s="7">
        <v>1102.345</v>
      </c>
      <c r="T200" s="7">
        <f t="shared" si="7"/>
        <v>1884.894</v>
      </c>
      <c r="U200" s="7">
        <v>117.557</v>
      </c>
      <c r="V200" s="7">
        <v>268.97</v>
      </c>
      <c r="W200" s="4" t="s">
        <v>144</v>
      </c>
      <c r="X200" s="4" t="s">
        <v>143</v>
      </c>
      <c r="Y200" s="7">
        <f>IF(X200="rub",R200,R200*'Курс доллара'!$F$6)</f>
        <v>782.549</v>
      </c>
      <c r="Z200" s="7">
        <f>IF(X200="rub",S200,S200*'Курс доллара'!$F$6)</f>
        <v>1102.345</v>
      </c>
      <c r="AA200" s="7">
        <f>IF(X200="rub",T200,T200*'Курс доллара'!$F$6)</f>
        <v>1884.894</v>
      </c>
      <c r="AB200" s="7">
        <f>IF(X200="rub",U200,U200*'Курс доллара'!$C$6)</f>
        <v>117.557</v>
      </c>
      <c r="AC200" s="7">
        <f>IF(X200="rub",V200,V200*'Курс доллара'!$F$6)</f>
        <v>268.97</v>
      </c>
      <c r="AD200" s="7" t="str">
        <f t="shared" si="8"/>
        <v>мсфо</v>
      </c>
      <c r="AE200" s="4" t="s">
        <v>143</v>
      </c>
    </row>
    <row r="201" spans="2:31" ht="12.75">
      <c r="B201" s="2" t="s">
        <v>49</v>
      </c>
      <c r="C201" s="1" t="s">
        <v>106</v>
      </c>
      <c r="D201" s="1">
        <v>2009</v>
      </c>
      <c r="E201" s="1">
        <v>115767444</v>
      </c>
      <c r="F201" s="1" t="s">
        <v>122</v>
      </c>
      <c r="G201" s="1">
        <v>385847000</v>
      </c>
      <c r="H201" s="1">
        <v>694904000</v>
      </c>
      <c r="I201" s="1">
        <v>3704.9649999999997</v>
      </c>
      <c r="J201" s="1">
        <v>552.937</v>
      </c>
      <c r="K201" s="1">
        <v>12496.65</v>
      </c>
      <c r="L201" s="1">
        <v>5519.614</v>
      </c>
      <c r="M201" s="1">
        <v>6042.039</v>
      </c>
      <c r="N201" s="17">
        <f t="shared" si="11"/>
        <v>0.12589720947877878</v>
      </c>
      <c r="O201" s="1">
        <v>5.568979</v>
      </c>
      <c r="P201" s="1">
        <v>3746.516</v>
      </c>
      <c r="Q201" s="1">
        <v>10613.87</v>
      </c>
      <c r="R201" s="7">
        <f>1000.376+95.895</f>
        <v>1096.271</v>
      </c>
      <c r="S201" s="7">
        <v>1400.621</v>
      </c>
      <c r="T201" s="7">
        <f t="shared" si="7"/>
        <v>2496.892</v>
      </c>
      <c r="U201" s="7">
        <v>81.701</v>
      </c>
      <c r="V201" s="7">
        <v>497.752</v>
      </c>
      <c r="W201" s="4" t="s">
        <v>144</v>
      </c>
      <c r="X201" s="4" t="s">
        <v>143</v>
      </c>
      <c r="Y201" s="7">
        <f>IF(X201="rub",R201,R201*'Курс доллара'!$F$7)</f>
        <v>1096.271</v>
      </c>
      <c r="Z201" s="7">
        <f>IF(X201="rub",S201,S201*'Курс доллара'!$F$7)</f>
        <v>1400.621</v>
      </c>
      <c r="AA201" s="7">
        <f>IF(X201="rub",T201,T201*'Курс доллара'!$F$7)</f>
        <v>2496.892</v>
      </c>
      <c r="AB201" s="7">
        <f>IF(X201="rub",U201,U201*'Курс доллара'!$C$7)</f>
        <v>81.701</v>
      </c>
      <c r="AC201" s="7">
        <f>IF(X201="rub",V201,V201*'Курс доллара'!$F$7)</f>
        <v>497.752</v>
      </c>
      <c r="AD201" s="7" t="str">
        <f t="shared" si="8"/>
        <v>мсфо</v>
      </c>
      <c r="AE201" s="4" t="s">
        <v>143</v>
      </c>
    </row>
    <row r="202" spans="2:31" ht="12.75">
      <c r="B202" s="2" t="s">
        <v>49</v>
      </c>
      <c r="C202" s="1" t="s">
        <v>106</v>
      </c>
      <c r="D202" s="1">
        <v>2010</v>
      </c>
      <c r="E202" s="1">
        <v>113620000</v>
      </c>
      <c r="F202" s="1"/>
      <c r="G202" s="1"/>
      <c r="H202" s="1">
        <v>787353000</v>
      </c>
      <c r="I202" s="1">
        <f>4472.056-81.892-1.895</f>
        <v>4388.268999999999</v>
      </c>
      <c r="J202" s="1"/>
      <c r="K202" s="1">
        <v>12123.877</v>
      </c>
      <c r="L202" s="1">
        <v>5939.421</v>
      </c>
      <c r="M202" s="1">
        <v>6725.343</v>
      </c>
      <c r="N202" s="17">
        <f t="shared" si="11"/>
        <v>0.13256393173678038</v>
      </c>
      <c r="O202" s="1"/>
      <c r="P202" s="1">
        <f>1905.732+0.22+859.252+7.175</f>
        <v>2772.379</v>
      </c>
      <c r="Q202" s="1">
        <v>10305.12</v>
      </c>
      <c r="R202" s="7">
        <f>68.411+1104.765</f>
        <v>1173.1760000000002</v>
      </c>
      <c r="S202" s="7">
        <v>1164.165</v>
      </c>
      <c r="T202" s="7">
        <f t="shared" si="7"/>
        <v>2337.3410000000003</v>
      </c>
      <c r="U202" s="7">
        <v>369.057</v>
      </c>
      <c r="V202" s="7">
        <v>287.624</v>
      </c>
      <c r="W202" s="4" t="s">
        <v>144</v>
      </c>
      <c r="X202" s="4" t="s">
        <v>143</v>
      </c>
      <c r="Y202" s="7">
        <f>IF(X202="rub",R202,R202*'Курс доллара'!$F$8)</f>
        <v>1173.1760000000002</v>
      </c>
      <c r="Z202" s="7">
        <f>IF(X202="rub",S202,S202*'Курс доллара'!$F$8)</f>
        <v>1164.165</v>
      </c>
      <c r="AA202" s="7">
        <f>IF(X202="rub",T202,T202*'Курс доллара'!$F$8)</f>
        <v>2337.3410000000003</v>
      </c>
      <c r="AB202" s="7">
        <f>IF(X202="rub",U202,U202*'Курс доллара'!$C$8)</f>
        <v>369.057</v>
      </c>
      <c r="AC202" s="7">
        <f>IF(X202="rub",V202,V202*'Курс доллара'!$F$8)</f>
        <v>287.624</v>
      </c>
      <c r="AD202" s="7" t="str">
        <f>W202</f>
        <v>мсфо</v>
      </c>
      <c r="AE202" s="4" t="s">
        <v>143</v>
      </c>
    </row>
    <row r="203" spans="1:31" ht="12.75">
      <c r="A203">
        <v>51</v>
      </c>
      <c r="B203" s="2" t="s">
        <v>50</v>
      </c>
      <c r="C203" s="1" t="s">
        <v>107</v>
      </c>
      <c r="D203" s="1">
        <v>2007</v>
      </c>
      <c r="E203" s="1">
        <v>83056699</v>
      </c>
      <c r="F203" s="1" t="s">
        <v>122</v>
      </c>
      <c r="G203" s="1">
        <v>124122000</v>
      </c>
      <c r="H203" s="1">
        <v>2397179000</v>
      </c>
      <c r="I203" s="1">
        <v>-2657.065</v>
      </c>
      <c r="J203" s="1">
        <v>-12641.96</v>
      </c>
      <c r="K203" s="1">
        <v>75030.54</v>
      </c>
      <c r="L203" s="1">
        <v>28246.2</v>
      </c>
      <c r="M203" s="1">
        <v>59124.31</v>
      </c>
      <c r="N203" s="17">
        <f t="shared" si="11"/>
        <v>0.08486730958500611</v>
      </c>
      <c r="O203" s="1">
        <v>4.248148</v>
      </c>
      <c r="P203" s="1">
        <v>6278.959</v>
      </c>
      <c r="Q203" s="1">
        <v>45013.33</v>
      </c>
      <c r="R203" s="7">
        <v>2044.821</v>
      </c>
      <c r="S203" s="7">
        <v>3809.982</v>
      </c>
      <c r="T203" s="7">
        <f t="shared" si="7"/>
        <v>5854.803</v>
      </c>
      <c r="U203" s="7">
        <v>15976.549</v>
      </c>
      <c r="V203" s="7">
        <v>574.882</v>
      </c>
      <c r="W203" s="4" t="s">
        <v>144</v>
      </c>
      <c r="X203" s="4" t="s">
        <v>143</v>
      </c>
      <c r="Y203" s="7">
        <f>IF(X203="rub",R203,R203*'Курс доллара'!$F$5)</f>
        <v>2044.821</v>
      </c>
      <c r="Z203" s="7">
        <f>IF(X203="rub",S203,S203*'Курс доллара'!$F$5)</f>
        <v>3809.982</v>
      </c>
      <c r="AA203" s="7">
        <f>IF(X203="rub",T203,T203*'Курс доллара'!$F$5)</f>
        <v>5854.803</v>
      </c>
      <c r="AB203" s="7">
        <f>IF(X203="rub",U203,U203*'Курс доллара'!$C$5)</f>
        <v>15976.549</v>
      </c>
      <c r="AC203" s="7">
        <f>IF(X203="rub",V203,V203*'Курс доллара'!$F$5)</f>
        <v>574.882</v>
      </c>
      <c r="AD203" s="7" t="str">
        <f t="shared" si="8"/>
        <v>мсфо</v>
      </c>
      <c r="AE203" s="4" t="s">
        <v>143</v>
      </c>
    </row>
    <row r="204" spans="2:31" ht="12.75">
      <c r="B204" s="2" t="s">
        <v>50</v>
      </c>
      <c r="C204" s="1" t="s">
        <v>107</v>
      </c>
      <c r="D204" s="1">
        <v>2008</v>
      </c>
      <c r="E204" s="1" t="s">
        <v>122</v>
      </c>
      <c r="F204" s="1" t="s">
        <v>122</v>
      </c>
      <c r="G204" s="1">
        <v>231321000</v>
      </c>
      <c r="H204" s="1">
        <v>1016092000</v>
      </c>
      <c r="I204" s="1">
        <v>-1505.357</v>
      </c>
      <c r="J204" s="1">
        <v>-16008.34</v>
      </c>
      <c r="K204" s="1">
        <v>79107.98</v>
      </c>
      <c r="L204" s="1">
        <v>33589.55</v>
      </c>
      <c r="M204" s="1">
        <v>59951.73</v>
      </c>
      <c r="N204" s="17">
        <f t="shared" si="11"/>
        <v>0.030250241518567526</v>
      </c>
      <c r="O204" s="1">
        <v>1.531694</v>
      </c>
      <c r="P204" s="1">
        <v>4717.086</v>
      </c>
      <c r="Q204" s="1">
        <v>64090.44</v>
      </c>
      <c r="R204" s="7">
        <v>2750.427</v>
      </c>
      <c r="S204" s="7">
        <v>1032.099</v>
      </c>
      <c r="T204" s="7">
        <f t="shared" si="7"/>
        <v>3782.526</v>
      </c>
      <c r="U204" s="7">
        <v>2058.618</v>
      </c>
      <c r="V204" s="7">
        <v>280.194</v>
      </c>
      <c r="W204" s="4" t="s">
        <v>144</v>
      </c>
      <c r="X204" s="4" t="s">
        <v>143</v>
      </c>
      <c r="Y204" s="7">
        <f>IF(X204="rub",R204,R204*'Курс доллара'!$F$6)</f>
        <v>2750.427</v>
      </c>
      <c r="Z204" s="7">
        <f>IF(X204="rub",S204,S204*'Курс доллара'!$F$6)</f>
        <v>1032.099</v>
      </c>
      <c r="AA204" s="7">
        <f>IF(X204="rub",T204,T204*'Курс доллара'!$F$6)</f>
        <v>3782.526</v>
      </c>
      <c r="AB204" s="7">
        <f>IF(X204="rub",U204,U204*'Курс доллара'!$C$6)</f>
        <v>2058.618</v>
      </c>
      <c r="AC204" s="7">
        <f>IF(X204="rub",V204,V204*'Курс доллара'!$F$6)</f>
        <v>280.194</v>
      </c>
      <c r="AD204" s="7" t="str">
        <f t="shared" si="8"/>
        <v>мсфо</v>
      </c>
      <c r="AE204" s="4" t="s">
        <v>143</v>
      </c>
    </row>
    <row r="205" spans="2:31" ht="12.75">
      <c r="B205" s="2" t="s">
        <v>50</v>
      </c>
      <c r="C205" s="1" t="s">
        <v>107</v>
      </c>
      <c r="D205" s="1">
        <v>2009</v>
      </c>
      <c r="E205" s="1">
        <v>168314000</v>
      </c>
      <c r="F205" s="1" t="s">
        <v>122</v>
      </c>
      <c r="G205" s="1">
        <v>3366287000</v>
      </c>
      <c r="H205" s="1">
        <v>8414557000</v>
      </c>
      <c r="I205" s="1">
        <v>7003.72</v>
      </c>
      <c r="J205" s="1">
        <v>-12472.85</v>
      </c>
      <c r="K205" s="1">
        <v>99485.83</v>
      </c>
      <c r="L205" s="1">
        <v>41350</v>
      </c>
      <c r="M205" s="1">
        <v>68460.81</v>
      </c>
      <c r="N205" s="17">
        <f t="shared" si="11"/>
        <v>0.20349593712212818</v>
      </c>
      <c r="O205" s="1">
        <v>9.423122</v>
      </c>
      <c r="P205" s="1">
        <v>15038.2</v>
      </c>
      <c r="Q205" s="1">
        <v>84962.64</v>
      </c>
      <c r="R205" s="7">
        <v>2790.69</v>
      </c>
      <c r="S205" s="7">
        <v>10400.492</v>
      </c>
      <c r="T205" s="7">
        <f t="shared" si="7"/>
        <v>13191.182</v>
      </c>
      <c r="U205" s="7">
        <v>579.574</v>
      </c>
      <c r="V205" s="7">
        <v>223.455</v>
      </c>
      <c r="W205" s="4" t="s">
        <v>144</v>
      </c>
      <c r="X205" s="4" t="s">
        <v>143</v>
      </c>
      <c r="Y205" s="7">
        <f>IF(X205="rub",R205,R205*'Курс доллара'!$F$7)</f>
        <v>2790.69</v>
      </c>
      <c r="Z205" s="7">
        <f>IF(X205="rub",S205,S205*'Курс доллара'!$F$7)</f>
        <v>10400.492</v>
      </c>
      <c r="AA205" s="7">
        <f>IF(X205="rub",T205,T205*'Курс доллара'!$F$7)</f>
        <v>13191.182</v>
      </c>
      <c r="AB205" s="7">
        <f>IF(X205="rub",U205,U205*'Курс доллара'!$C$7)</f>
        <v>579.574</v>
      </c>
      <c r="AC205" s="7">
        <f>IF(X205="rub",V205,V205*'Курс доллара'!$F$7)</f>
        <v>223.455</v>
      </c>
      <c r="AD205" s="7" t="str">
        <f t="shared" si="8"/>
        <v>мсфо</v>
      </c>
      <c r="AE205" s="4" t="s">
        <v>143</v>
      </c>
    </row>
    <row r="206" spans="2:31" ht="12.75">
      <c r="B206" s="2" t="s">
        <v>50</v>
      </c>
      <c r="C206" s="1" t="s">
        <v>107</v>
      </c>
      <c r="D206" s="1">
        <v>2010</v>
      </c>
      <c r="E206" s="1"/>
      <c r="F206" s="1"/>
      <c r="G206" s="1"/>
      <c r="H206" s="1">
        <v>7173178000</v>
      </c>
      <c r="I206" s="1">
        <f>20075.786-6086.949</f>
        <v>13988.837</v>
      </c>
      <c r="J206" s="1"/>
      <c r="K206" s="1">
        <v>114021.246</v>
      </c>
      <c r="L206" s="1">
        <v>54103.891</v>
      </c>
      <c r="M206" s="1">
        <v>75445.929</v>
      </c>
      <c r="N206" s="17">
        <f t="shared" si="11"/>
        <v>0.13258155499389127</v>
      </c>
      <c r="O206" s="1"/>
      <c r="P206" s="1">
        <f>16294.201+6905.72</f>
        <v>23199.921</v>
      </c>
      <c r="Q206" s="1">
        <v>99019.521</v>
      </c>
      <c r="R206" s="7">
        <v>3383.587</v>
      </c>
      <c r="S206" s="7">
        <v>9204.932</v>
      </c>
      <c r="T206" s="7">
        <f t="shared" si="7"/>
        <v>12588.519</v>
      </c>
      <c r="U206" s="7">
        <v>277.218</v>
      </c>
      <c r="V206" s="7">
        <v>205.581</v>
      </c>
      <c r="W206" s="4" t="s">
        <v>144</v>
      </c>
      <c r="X206" s="4" t="s">
        <v>143</v>
      </c>
      <c r="Y206" s="7">
        <f>IF(X206="rub",R206,R206*'Курс доллара'!$F$8)</f>
        <v>3383.587</v>
      </c>
      <c r="Z206" s="7">
        <f>IF(X206="rub",S206,S206*'Курс доллара'!$F$8)</f>
        <v>9204.932</v>
      </c>
      <c r="AA206" s="7">
        <f>IF(X206="rub",T206,T206*'Курс доллара'!$F$8)</f>
        <v>12588.519</v>
      </c>
      <c r="AB206" s="7">
        <f>IF(X206="rub",U206,U206*'Курс доллара'!$C$8)</f>
        <v>277.218</v>
      </c>
      <c r="AC206" s="7">
        <f>IF(X206="rub",V206,V206*'Курс доллара'!$F$8)</f>
        <v>205.581</v>
      </c>
      <c r="AD206" s="7" t="str">
        <f>W206</f>
        <v>мсфо</v>
      </c>
      <c r="AE206" s="4" t="s">
        <v>143</v>
      </c>
    </row>
    <row r="207" spans="1:31" ht="12.75">
      <c r="A207">
        <v>52</v>
      </c>
      <c r="B207" s="2" t="s">
        <v>51</v>
      </c>
      <c r="C207" s="1" t="s">
        <v>108</v>
      </c>
      <c r="D207" s="1">
        <v>2007</v>
      </c>
      <c r="E207" s="1">
        <v>4035000000</v>
      </c>
      <c r="F207" s="1" t="s">
        <v>122</v>
      </c>
      <c r="G207" s="1">
        <v>19240056000</v>
      </c>
      <c r="H207" s="1">
        <v>12427961975</v>
      </c>
      <c r="I207" s="1">
        <v>39422.47</v>
      </c>
      <c r="J207" s="1">
        <v>-11009.48</v>
      </c>
      <c r="K207" s="1">
        <v>115210.9</v>
      </c>
      <c r="L207" s="1">
        <v>106853.2</v>
      </c>
      <c r="M207" s="1">
        <v>49346.03</v>
      </c>
      <c r="N207" s="17">
        <f t="shared" si="11"/>
        <v>0.11630874859152557</v>
      </c>
      <c r="O207" s="1">
        <v>11.84768</v>
      </c>
      <c r="P207" s="1">
        <v>37928.02</v>
      </c>
      <c r="Q207" s="1">
        <v>67556.41</v>
      </c>
      <c r="R207" s="7">
        <f>137.687+2.572</f>
        <v>140.25900000000001</v>
      </c>
      <c r="S207" s="7">
        <f>1288.028-238.176-5.286-218.275-10.139-56.225+4.968</f>
        <v>764.895</v>
      </c>
      <c r="T207" s="7">
        <f t="shared" si="7"/>
        <v>905.154</v>
      </c>
      <c r="U207" s="7">
        <v>89.045</v>
      </c>
      <c r="V207" s="7">
        <v>92.698</v>
      </c>
      <c r="W207" s="4" t="s">
        <v>144</v>
      </c>
      <c r="X207" s="10" t="s">
        <v>142</v>
      </c>
      <c r="Y207" s="7">
        <f>IF(X207="rub",R207,R207*'Курс доллара'!$F$5)</f>
        <v>3567.9996103500002</v>
      </c>
      <c r="Z207" s="7">
        <f>IF(X207="rub",S207,S207*'Курс доллара'!$F$5)</f>
        <v>19457.89619175</v>
      </c>
      <c r="AA207" s="7">
        <f>IF(X207="rub",T207,T207*'Курс доллара'!$F$5)</f>
        <v>23025.8958021</v>
      </c>
      <c r="AB207" s="7">
        <f>IF(X207="rub",U207,U207*'Курс доллара'!$C$5)</f>
        <v>2185.716379</v>
      </c>
      <c r="AC207" s="7">
        <f>IF(X207="rub",V207,V207*'Курс доллара'!$F$5)</f>
        <v>2358.1119777</v>
      </c>
      <c r="AD207" s="7" t="str">
        <f t="shared" si="8"/>
        <v>мсфо</v>
      </c>
      <c r="AE207" s="4" t="s">
        <v>143</v>
      </c>
    </row>
    <row r="208" spans="2:31" ht="12.75">
      <c r="B208" s="2" t="s">
        <v>51</v>
      </c>
      <c r="C208" s="1" t="s">
        <v>108</v>
      </c>
      <c r="D208" s="1">
        <v>2008</v>
      </c>
      <c r="E208" s="1">
        <v>1527751750</v>
      </c>
      <c r="F208" s="1" t="s">
        <v>122</v>
      </c>
      <c r="G208" s="1">
        <v>-9054040000</v>
      </c>
      <c r="H208" s="1">
        <v>5831186748</v>
      </c>
      <c r="I208" s="1">
        <v>41460.57</v>
      </c>
      <c r="J208" s="1">
        <v>-6938.442</v>
      </c>
      <c r="K208" s="1">
        <v>207910.3</v>
      </c>
      <c r="L208" s="1">
        <v>141575.5</v>
      </c>
      <c r="M208" s="1">
        <v>53319.36</v>
      </c>
      <c r="N208" s="17">
        <f t="shared" si="11"/>
        <v>0.04118782379719655</v>
      </c>
      <c r="O208" s="1">
        <v>3.395071</v>
      </c>
      <c r="P208" s="1">
        <v>94403.1</v>
      </c>
      <c r="Q208" s="1">
        <v>97921.79</v>
      </c>
      <c r="R208" s="7">
        <f>188.944+58.829</f>
        <v>247.773</v>
      </c>
      <c r="S208" s="7">
        <f>1437.65-295.21-10.122-316.748-15.164-52.043+7.12-3.512-59.846-23.675</f>
        <v>668.45</v>
      </c>
      <c r="T208" s="7">
        <f t="shared" si="7"/>
        <v>916.2230000000001</v>
      </c>
      <c r="U208" s="7">
        <v>143.393</v>
      </c>
      <c r="V208" s="7">
        <v>242.675</v>
      </c>
      <c r="W208" s="4" t="s">
        <v>144</v>
      </c>
      <c r="X208" s="10" t="s">
        <v>142</v>
      </c>
      <c r="Y208" s="7">
        <f>IF(X208="rub",R208,R208*'Курс доллара'!$F$6)</f>
        <v>6680.7777309</v>
      </c>
      <c r="Z208" s="7">
        <f>IF(X208="rub",S208,S208*'Курс доллара'!$F$6)</f>
        <v>18023.617885</v>
      </c>
      <c r="AA208" s="7">
        <f>IF(X208="rub",T208,T208*'Курс доллара'!$F$6)</f>
        <v>24704.3956159</v>
      </c>
      <c r="AB208" s="7">
        <f>IF(X208="rub",U208,U208*'Курс доллара'!$C$6)</f>
        <v>4212.9436972</v>
      </c>
      <c r="AC208" s="7">
        <f>IF(X208="rub",V208,V208*'Курс доллара'!$F$6)</f>
        <v>6543.3188275</v>
      </c>
      <c r="AD208" s="7" t="str">
        <f t="shared" si="8"/>
        <v>мсфо</v>
      </c>
      <c r="AE208" s="4" t="s">
        <v>143</v>
      </c>
    </row>
    <row r="209" spans="2:31" ht="12.75">
      <c r="B209" s="2" t="s">
        <v>51</v>
      </c>
      <c r="C209" s="1" t="s">
        <v>108</v>
      </c>
      <c r="D209" s="1">
        <v>2009</v>
      </c>
      <c r="E209" s="1" t="s">
        <v>122</v>
      </c>
      <c r="F209" s="1" t="s">
        <v>122</v>
      </c>
      <c r="G209" s="1">
        <v>-98137000</v>
      </c>
      <c r="H209" s="1">
        <v>-9791408529</v>
      </c>
      <c r="I209" s="1">
        <v>31056.55</v>
      </c>
      <c r="J209" s="1">
        <v>557.7112</v>
      </c>
      <c r="K209" s="1">
        <v>200667.1</v>
      </c>
      <c r="L209" s="1">
        <v>109884.8</v>
      </c>
      <c r="M209" s="1">
        <v>43353.18</v>
      </c>
      <c r="N209" s="17">
        <f t="shared" si="11"/>
        <v>-0.08910612322177408</v>
      </c>
      <c r="O209" s="1">
        <v>-4.591639</v>
      </c>
      <c r="P209" s="1">
        <v>112677.8</v>
      </c>
      <c r="Q209" s="1">
        <v>102199.5</v>
      </c>
      <c r="R209" s="7">
        <f>205.874+107.798</f>
        <v>313.672</v>
      </c>
      <c r="S209" s="7">
        <f>556.4-312.551-4.579-203.748-10.214-33.157+16.006-10.053-39.73+2.454</f>
        <v>-39.172000000000004</v>
      </c>
      <c r="T209" s="7">
        <f t="shared" si="7"/>
        <v>274.5</v>
      </c>
      <c r="U209" s="7">
        <v>243.756</v>
      </c>
      <c r="V209" s="7">
        <v>444.111</v>
      </c>
      <c r="W209" s="4" t="s">
        <v>144</v>
      </c>
      <c r="X209" s="10" t="s">
        <v>142</v>
      </c>
      <c r="Y209" s="7">
        <f>IF(X209="rub",R209,R209*'Курс доллара'!$F$7)</f>
        <v>9351.283765600001</v>
      </c>
      <c r="Z209" s="7">
        <f>IF(X209="rub",S209,S209*'Курс доллара'!$F$7)</f>
        <v>-1167.8074156000002</v>
      </c>
      <c r="AA209" s="7">
        <f>IF(X209="rub",T209,T209*'Курс доллара'!$F$7)</f>
        <v>8183.47635</v>
      </c>
      <c r="AB209" s="7">
        <f>IF(X209="rub",U209,U209*'Курс доллара'!$C$7)</f>
        <v>7372.2052152</v>
      </c>
      <c r="AC209" s="7">
        <f>IF(X209="rub",V209,V209*'Курс доллара'!$F$7)</f>
        <v>13239.9703653</v>
      </c>
      <c r="AD209" s="7" t="str">
        <f t="shared" si="8"/>
        <v>мсфо</v>
      </c>
      <c r="AE209" s="4" t="s">
        <v>143</v>
      </c>
    </row>
    <row r="210" spans="2:31" ht="12.75">
      <c r="B210" s="2" t="s">
        <v>51</v>
      </c>
      <c r="C210" s="1" t="s">
        <v>108</v>
      </c>
      <c r="D210" s="1">
        <v>2010</v>
      </c>
      <c r="E210" s="1">
        <v>0</v>
      </c>
      <c r="F210" s="1"/>
      <c r="G210" s="1"/>
      <c r="H210" s="1">
        <f>104074000*'Курс доллара'!F8</f>
        <v>3159743880.7</v>
      </c>
      <c r="I210" s="1">
        <f>(15.387+1122.771-318.351+18.276)*'Курс доллара'!C8</f>
        <v>25542.171782699996</v>
      </c>
      <c r="J210" s="1"/>
      <c r="K210" s="1">
        <f>6861.534*'Курс доллара'!C8</f>
        <v>209118.2855646</v>
      </c>
      <c r="L210" s="1">
        <f>5578.599*'Курс доллара'!F8</f>
        <v>169369.33386945</v>
      </c>
      <c r="M210" s="1">
        <f>1527.398*'Курс доллара'!C8</f>
        <v>46550.3561062</v>
      </c>
      <c r="N210" s="17">
        <f t="shared" si="11"/>
        <v>0.018655938525066956</v>
      </c>
      <c r="O210" s="1"/>
      <c r="P210" s="1">
        <f>(701.864+3169.714)*'Курс доллара'!C8</f>
        <v>117993.6955482</v>
      </c>
      <c r="Q210" s="1">
        <f>3386.66*'Курс доллара'!C8</f>
        <v>103214.898154</v>
      </c>
      <c r="R210" s="7">
        <f>85.199+224.958</f>
        <v>310.157</v>
      </c>
      <c r="S210" s="7">
        <f>1293.25-403.143-11.099-231.975-13.309-44.978+11.042</f>
        <v>599.788</v>
      </c>
      <c r="T210" s="7">
        <f t="shared" si="7"/>
        <v>909.9449999999999</v>
      </c>
      <c r="U210" s="7">
        <v>157.524</v>
      </c>
      <c r="V210" s="7">
        <v>342.743</v>
      </c>
      <c r="W210" s="4" t="s">
        <v>144</v>
      </c>
      <c r="X210" s="10" t="s">
        <v>142</v>
      </c>
      <c r="Y210" s="7">
        <f>IF(X210="rub",R210,R210*'Курс доллара'!$F$8)</f>
        <v>9416.537106349999</v>
      </c>
      <c r="Z210" s="7">
        <f>IF(X210="rub",S210,S210*'Курс доллара'!$F$8)</f>
        <v>18209.8935634</v>
      </c>
      <c r="AA210" s="7">
        <f>IF(X210="rub",T210,T210*'Курс доллара'!$F$8)</f>
        <v>27626.43066975</v>
      </c>
      <c r="AB210" s="7">
        <f>IF(X210="rub",U210,U210*'Курс доллара'!$C$8)</f>
        <v>4800.8431956</v>
      </c>
      <c r="AC210" s="7">
        <f>IF(X210="rub",V210,V210*'Курс доллара'!$F$8)</f>
        <v>10405.865988649999</v>
      </c>
      <c r="AD210" s="7" t="str">
        <f>W210</f>
        <v>мсфо</v>
      </c>
      <c r="AE210" s="4" t="s">
        <v>143</v>
      </c>
    </row>
    <row r="211" spans="1:31" ht="12.75">
      <c r="A211">
        <v>53</v>
      </c>
      <c r="B211" s="2" t="s">
        <v>52</v>
      </c>
      <c r="C211" s="1" t="s">
        <v>109</v>
      </c>
      <c r="D211" s="1">
        <v>2007</v>
      </c>
      <c r="E211" s="1">
        <v>331660000</v>
      </c>
      <c r="F211" s="1" t="s">
        <v>122</v>
      </c>
      <c r="G211" s="1">
        <v>2535351000</v>
      </c>
      <c r="H211" s="1">
        <v>2698411000</v>
      </c>
      <c r="I211" s="1">
        <v>5034.089</v>
      </c>
      <c r="J211" s="1">
        <v>4716.538</v>
      </c>
      <c r="K211" s="1">
        <v>142023.5</v>
      </c>
      <c r="L211" s="1">
        <v>14440.84</v>
      </c>
      <c r="M211" s="1">
        <v>8407.684</v>
      </c>
      <c r="N211" s="17">
        <f t="shared" si="11"/>
        <v>0.1868596979123098</v>
      </c>
      <c r="O211" s="1" t="s">
        <v>122</v>
      </c>
      <c r="P211" s="1">
        <v>59436.01</v>
      </c>
      <c r="Q211" s="1" t="s">
        <v>122</v>
      </c>
      <c r="R211" s="7">
        <f>279.856+37.305</f>
        <v>317.161</v>
      </c>
      <c r="S211" s="7">
        <v>3772.681</v>
      </c>
      <c r="T211" s="7">
        <f t="shared" si="7"/>
        <v>4089.842</v>
      </c>
      <c r="U211" s="7">
        <v>15605.013</v>
      </c>
      <c r="V211" s="7">
        <v>4337.066</v>
      </c>
      <c r="W211" s="4" t="s">
        <v>144</v>
      </c>
      <c r="X211" s="4" t="s">
        <v>143</v>
      </c>
      <c r="Y211" s="7">
        <f>IF(X211="rub",R211,R211*'Курс доллара'!$F$7)</f>
        <v>317.161</v>
      </c>
      <c r="Z211" s="7">
        <f>IF(X211="rub",S211,S211*'Курс доллара'!$F$7)</f>
        <v>3772.681</v>
      </c>
      <c r="AA211" s="7">
        <f>IF(X211="rub",T211,T211*'Курс доллара'!$F$7)</f>
        <v>4089.842</v>
      </c>
      <c r="AB211" s="7">
        <f>IF(X211="rub",U211,U211*'Курс доллара'!$C$7)</f>
        <v>15605.013</v>
      </c>
      <c r="AC211" s="7">
        <f>IF(X211="rub",V211,V211*'Курс доллара'!$F$7)</f>
        <v>4337.066</v>
      </c>
      <c r="AD211" s="7" t="str">
        <f>W211</f>
        <v>мсфо</v>
      </c>
      <c r="AE211" s="4" t="s">
        <v>143</v>
      </c>
    </row>
    <row r="212" spans="2:31" ht="12.75">
      <c r="B212" s="2" t="s">
        <v>52</v>
      </c>
      <c r="C212" s="1" t="s">
        <v>109</v>
      </c>
      <c r="D212" s="1">
        <v>2008</v>
      </c>
      <c r="E212" s="1">
        <v>338745000</v>
      </c>
      <c r="F212" s="1" t="s">
        <v>122</v>
      </c>
      <c r="G212" s="1">
        <v>2586747000</v>
      </c>
      <c r="H212" s="1">
        <v>3497039000</v>
      </c>
      <c r="I212" s="1">
        <v>7804.121</v>
      </c>
      <c r="J212" s="1">
        <v>27422.78</v>
      </c>
      <c r="K212" s="1">
        <v>244381.8</v>
      </c>
      <c r="L212" s="1">
        <v>26101.41</v>
      </c>
      <c r="M212" s="1">
        <v>15977.72</v>
      </c>
      <c r="N212" s="17">
        <f t="shared" si="11"/>
        <v>0.1339789306401455</v>
      </c>
      <c r="O212" s="1">
        <v>1.771246</v>
      </c>
      <c r="P212" s="1">
        <v>93847.18</v>
      </c>
      <c r="Q212" s="1" t="s">
        <v>122</v>
      </c>
      <c r="R212" s="7">
        <f>302.486+3.947+35.655</f>
        <v>342.08799999999997</v>
      </c>
      <c r="S212" s="7">
        <v>4761.631</v>
      </c>
      <c r="T212" s="7">
        <f t="shared" si="7"/>
        <v>5103.719</v>
      </c>
      <c r="U212" s="7">
        <v>63445.438</v>
      </c>
      <c r="V212" s="7">
        <v>9011.501</v>
      </c>
      <c r="W212" s="4" t="s">
        <v>144</v>
      </c>
      <c r="X212" s="4" t="s">
        <v>143</v>
      </c>
      <c r="Y212" s="7">
        <f>IF(X212="rub",R212,R212*'Курс доллара'!$F$7)</f>
        <v>342.08799999999997</v>
      </c>
      <c r="Z212" s="7">
        <f>IF(X212="rub",S212,S212*'Курс доллара'!$F$7)</f>
        <v>4761.631</v>
      </c>
      <c r="AA212" s="7">
        <f>IF(X212="rub",T212,T212*'Курс доллара'!$F$7)</f>
        <v>5103.719</v>
      </c>
      <c r="AB212" s="7">
        <f>IF(X212="rub",U212,U212*'Курс доллара'!$C$7)</f>
        <v>63445.438</v>
      </c>
      <c r="AC212" s="7">
        <f>IF(X212="rub",V212,V212*'Курс доллара'!$F$7)</f>
        <v>9011.501</v>
      </c>
      <c r="AD212" s="7" t="str">
        <f>W212</f>
        <v>мсфо</v>
      </c>
      <c r="AE212" s="4" t="s">
        <v>143</v>
      </c>
    </row>
    <row r="213" spans="2:31" ht="12.75">
      <c r="B213" s="2" t="s">
        <v>52</v>
      </c>
      <c r="C213" s="1" t="s">
        <v>109</v>
      </c>
      <c r="D213" s="1">
        <v>2009</v>
      </c>
      <c r="E213" s="1">
        <v>477521781</v>
      </c>
      <c r="F213" s="1" t="s">
        <v>122</v>
      </c>
      <c r="G213" s="1">
        <v>4768380000</v>
      </c>
      <c r="H213" s="1">
        <v>4064710000</v>
      </c>
      <c r="I213" s="1">
        <v>11750.74</v>
      </c>
      <c r="J213" s="1">
        <v>-53839.64</v>
      </c>
      <c r="K213" s="1">
        <v>258586.5</v>
      </c>
      <c r="L213" s="1">
        <v>34001.24</v>
      </c>
      <c r="M213" s="1">
        <v>19952.53</v>
      </c>
      <c r="N213" s="17">
        <f t="shared" si="11"/>
        <v>0.1195459342071054</v>
      </c>
      <c r="O213" s="1">
        <v>1.369885</v>
      </c>
      <c r="P213" s="1">
        <v>83381.92</v>
      </c>
      <c r="Q213" s="1" t="s">
        <v>122</v>
      </c>
      <c r="R213" s="7">
        <f>407.778+156.992</f>
        <v>564.77</v>
      </c>
      <c r="S213" s="7">
        <v>5260.7</v>
      </c>
      <c r="T213" s="7">
        <f t="shared" si="7"/>
        <v>5825.469999999999</v>
      </c>
      <c r="U213" s="7">
        <v>30045.671</v>
      </c>
      <c r="V213" s="7">
        <v>12748.385</v>
      </c>
      <c r="W213" s="4" t="s">
        <v>144</v>
      </c>
      <c r="X213" s="4" t="s">
        <v>143</v>
      </c>
      <c r="Y213" s="7">
        <f>IF(X213="rub",R213,R213*'Курс доллара'!$F$7)</f>
        <v>564.77</v>
      </c>
      <c r="Z213" s="7">
        <f>IF(X213="rub",S213,S213*'Курс доллара'!$F$7)</f>
        <v>5260.7</v>
      </c>
      <c r="AA213" s="7">
        <f>IF(X213="rub",T213,T213*'Курс доллара'!$F$7)</f>
        <v>5825.469999999999</v>
      </c>
      <c r="AB213" s="7">
        <f>IF(X213="rub",U213,U213*'Курс доллара'!$C$7)</f>
        <v>30045.671</v>
      </c>
      <c r="AC213" s="7">
        <f>IF(X213="rub",V213,V213*'Курс доллара'!$F$7)</f>
        <v>12748.385</v>
      </c>
      <c r="AD213" s="7" t="str">
        <f>W213</f>
        <v>мсфо</v>
      </c>
      <c r="AE213" s="4" t="s">
        <v>143</v>
      </c>
    </row>
    <row r="214" spans="2:31" ht="12.75">
      <c r="B214" s="2" t="s">
        <v>52</v>
      </c>
      <c r="C214" s="1" t="s">
        <v>109</v>
      </c>
      <c r="D214" s="1">
        <v>2010</v>
      </c>
      <c r="E214" s="1"/>
      <c r="F214" s="1"/>
      <c r="G214" s="1"/>
      <c r="H214" s="1"/>
      <c r="I214" s="1"/>
      <c r="J214" s="1"/>
      <c r="K214" s="1"/>
      <c r="L214" s="1"/>
      <c r="M214" s="1"/>
      <c r="N214" s="17"/>
      <c r="O214" s="1"/>
      <c r="P214" s="1"/>
      <c r="Q214" s="1"/>
      <c r="R214" s="7"/>
      <c r="S214" s="7"/>
      <c r="T214" s="7"/>
      <c r="U214" s="7"/>
      <c r="V214" s="7"/>
      <c r="W214" s="4"/>
      <c r="X214" s="4"/>
      <c r="Y214" s="7">
        <f>IF(X214="rub",R214,R214*'Курс доллара'!$F$7)</f>
        <v>0</v>
      </c>
      <c r="Z214" s="7">
        <f>IF(X214="rub",S214,S214*'Курс доллара'!$F$7)</f>
        <v>0</v>
      </c>
      <c r="AA214" s="7">
        <f>IF(X214="rub",T214,T214*'Курс доллара'!$F$7)</f>
        <v>0</v>
      </c>
      <c r="AB214" s="7">
        <f>IF(X214="rub",U214,U214*'Курс доллара'!$C$7)</f>
        <v>0</v>
      </c>
      <c r="AC214" s="7">
        <f>IF(X214="rub",V214,V214*'Курс доллара'!$F$7)</f>
        <v>0</v>
      </c>
      <c r="AD214" s="7">
        <f>W214</f>
        <v>0</v>
      </c>
      <c r="AE214" s="4" t="s">
        <v>143</v>
      </c>
    </row>
    <row r="215" spans="1:31" ht="12.75">
      <c r="A215">
        <v>54</v>
      </c>
      <c r="B215" s="2" t="s">
        <v>53</v>
      </c>
      <c r="C215" s="1" t="s">
        <v>110</v>
      </c>
      <c r="D215" s="1">
        <v>2007</v>
      </c>
      <c r="E215" s="1">
        <v>53453070</v>
      </c>
      <c r="F215" s="1" t="s">
        <v>122</v>
      </c>
      <c r="G215" s="1">
        <v>213519000</v>
      </c>
      <c r="H215" s="1" t="s">
        <v>122</v>
      </c>
      <c r="I215" s="1">
        <v>1490.3709999999999</v>
      </c>
      <c r="J215" s="1" t="s">
        <v>122</v>
      </c>
      <c r="K215" s="1">
        <v>6855.303</v>
      </c>
      <c r="L215" s="1">
        <v>5598.152</v>
      </c>
      <c r="M215" s="1">
        <v>2042.556</v>
      </c>
      <c r="N215" s="17">
        <f>G215/L215/1000000</f>
        <v>0.03814097938033836</v>
      </c>
      <c r="O215" s="1">
        <v>3.439959</v>
      </c>
      <c r="P215" s="1">
        <v>950.226</v>
      </c>
      <c r="Q215" s="1">
        <v>649.68</v>
      </c>
      <c r="R215" s="7">
        <v>69.389</v>
      </c>
      <c r="S215" s="7">
        <v>421.954</v>
      </c>
      <c r="T215" s="7">
        <f t="shared" si="7"/>
        <v>491.343</v>
      </c>
      <c r="U215" s="7">
        <v>523.458</v>
      </c>
      <c r="V215" s="7">
        <v>138.169</v>
      </c>
      <c r="W215" s="4" t="s">
        <v>139</v>
      </c>
      <c r="X215" s="4" t="s">
        <v>143</v>
      </c>
      <c r="Y215" s="7">
        <f>IF(X215="rub",R215,R215*'Курс доллара'!$F$5)</f>
        <v>69.389</v>
      </c>
      <c r="Z215" s="7">
        <f>IF(X215="rub",S215,S215*'Курс доллара'!$F$5)</f>
        <v>421.954</v>
      </c>
      <c r="AA215" s="7">
        <f>IF(X215="rub",T215,T215*'Курс доллара'!$F$5)</f>
        <v>491.343</v>
      </c>
      <c r="AB215" s="7">
        <f>IF(X215="rub",U215,U215*'Курс доллара'!$C$5)</f>
        <v>523.458</v>
      </c>
      <c r="AC215" s="7">
        <f>IF(X215="rub",V215,V215*'Курс доллара'!$F$5)</f>
        <v>138.169</v>
      </c>
      <c r="AD215" s="7" t="str">
        <f t="shared" si="8"/>
        <v>рсбу</v>
      </c>
      <c r="AE215" s="4" t="s">
        <v>143</v>
      </c>
    </row>
    <row r="216" spans="2:31" ht="12.75">
      <c r="B216" s="2" t="s">
        <v>53</v>
      </c>
      <c r="C216" s="1" t="s">
        <v>110</v>
      </c>
      <c r="D216" s="1">
        <v>2008</v>
      </c>
      <c r="E216" s="1">
        <v>114924100</v>
      </c>
      <c r="F216" s="1" t="s">
        <v>122</v>
      </c>
      <c r="G216" s="1">
        <v>1429813000</v>
      </c>
      <c r="H216" s="1" t="s">
        <v>122</v>
      </c>
      <c r="I216" s="1">
        <v>2839.028</v>
      </c>
      <c r="J216" s="1" t="s">
        <v>122</v>
      </c>
      <c r="K216" s="1">
        <v>11082.41</v>
      </c>
      <c r="L216" s="1">
        <v>7614.156</v>
      </c>
      <c r="M216" s="1">
        <v>3391.213</v>
      </c>
      <c r="N216" s="17">
        <f>G216/L216/1000000</f>
        <v>0.1877835179631203</v>
      </c>
      <c r="O216" s="1">
        <v>15.94198</v>
      </c>
      <c r="P216" s="1">
        <v>21.009</v>
      </c>
      <c r="Q216" s="1">
        <v>655.726</v>
      </c>
      <c r="R216" s="7">
        <v>79.59</v>
      </c>
      <c r="S216" s="7">
        <v>1651.237</v>
      </c>
      <c r="T216" s="7">
        <f t="shared" si="7"/>
        <v>1730.827</v>
      </c>
      <c r="U216" s="7">
        <v>1354.963</v>
      </c>
      <c r="V216" s="7">
        <v>6.579</v>
      </c>
      <c r="W216" s="4" t="s">
        <v>139</v>
      </c>
      <c r="X216" s="4" t="s">
        <v>143</v>
      </c>
      <c r="Y216" s="7">
        <f>IF(X216="rub",R216,R216*'Курс доллара'!$F$6)</f>
        <v>79.59</v>
      </c>
      <c r="Z216" s="7">
        <f>IF(X216="rub",S216,S216*'Курс доллара'!$F$6)</f>
        <v>1651.237</v>
      </c>
      <c r="AA216" s="7">
        <f>IF(X216="rub",T216,T216*'Курс доллара'!$F$6)</f>
        <v>1730.827</v>
      </c>
      <c r="AB216" s="7">
        <f>IF(X216="rub",U216,U216*'Курс доллара'!$C$6)</f>
        <v>1354.963</v>
      </c>
      <c r="AC216" s="7">
        <f>IF(X216="rub",V216,V216*'Курс доллара'!$F$6)</f>
        <v>6.579</v>
      </c>
      <c r="AD216" s="7" t="str">
        <f t="shared" si="8"/>
        <v>рсбу</v>
      </c>
      <c r="AE216" s="4" t="s">
        <v>143</v>
      </c>
    </row>
    <row r="217" spans="2:31" ht="12.75">
      <c r="B217" s="2" t="s">
        <v>53</v>
      </c>
      <c r="C217" s="1" t="s">
        <v>110</v>
      </c>
      <c r="D217" s="1">
        <v>2009</v>
      </c>
      <c r="E217" s="1">
        <v>114924100</v>
      </c>
      <c r="F217" s="1" t="s">
        <v>122</v>
      </c>
      <c r="G217" s="1">
        <v>2519824000</v>
      </c>
      <c r="H217" s="1" t="s">
        <v>122</v>
      </c>
      <c r="I217" s="1">
        <v>5239.901</v>
      </c>
      <c r="J217" s="1" t="s">
        <v>122</v>
      </c>
      <c r="K217" s="1">
        <v>13082.12</v>
      </c>
      <c r="L217" s="1">
        <v>12343.61</v>
      </c>
      <c r="M217" s="1">
        <v>5792.085</v>
      </c>
      <c r="N217" s="17">
        <f>G217/L217/1000000</f>
        <v>0.20413995581519503</v>
      </c>
      <c r="O217" s="1">
        <v>20.85556</v>
      </c>
      <c r="P217" s="1">
        <v>391.073</v>
      </c>
      <c r="Q217" s="1">
        <v>1567.805</v>
      </c>
      <c r="R217" s="7">
        <v>97.408</v>
      </c>
      <c r="S217" s="7">
        <v>3420.089</v>
      </c>
      <c r="T217" s="7">
        <f t="shared" si="7"/>
        <v>3517.497</v>
      </c>
      <c r="U217" s="7">
        <v>2900.637</v>
      </c>
      <c r="V217" s="7">
        <v>94.169</v>
      </c>
      <c r="W217" s="4" t="s">
        <v>139</v>
      </c>
      <c r="X217" s="4" t="s">
        <v>143</v>
      </c>
      <c r="Y217" s="7">
        <f>IF(X217="rub",R217,R217*'Курс доллара'!$F$7)</f>
        <v>97.408</v>
      </c>
      <c r="Z217" s="7">
        <f>IF(X217="rub",S217,S217*'Курс доллара'!$F$7)</f>
        <v>3420.089</v>
      </c>
      <c r="AA217" s="7">
        <f>IF(X217="rub",T217,T217*'Курс доллара'!$F$7)</f>
        <v>3517.497</v>
      </c>
      <c r="AB217" s="7">
        <f>IF(X217="rub",U217,U217*'Курс доллара'!$C$7)</f>
        <v>2900.637</v>
      </c>
      <c r="AC217" s="7">
        <f>IF(X217="rub",V217,V217*'Курс доллара'!$F$7)</f>
        <v>94.169</v>
      </c>
      <c r="AD217" s="7" t="str">
        <f t="shared" si="8"/>
        <v>рсбу</v>
      </c>
      <c r="AE217" s="4" t="s">
        <v>143</v>
      </c>
    </row>
    <row r="218" spans="2:31" ht="12.75">
      <c r="B218" s="2" t="s">
        <v>53</v>
      </c>
      <c r="C218" s="1" t="s">
        <v>110</v>
      </c>
      <c r="D218" s="1">
        <v>2010</v>
      </c>
      <c r="E218" s="1"/>
      <c r="F218" s="1"/>
      <c r="G218" s="1">
        <v>4530157000</v>
      </c>
      <c r="H218" s="1"/>
      <c r="I218" s="1">
        <f>9576.784+13.363</f>
        <v>9590.146999999999</v>
      </c>
      <c r="J218" s="1"/>
      <c r="K218" s="1">
        <v>22193.935</v>
      </c>
      <c r="L218" s="1">
        <v>18008.373</v>
      </c>
      <c r="M218" s="1">
        <v>10142.33</v>
      </c>
      <c r="N218" s="17">
        <f>G218/L218/1000000</f>
        <v>0.251558372319365</v>
      </c>
      <c r="O218" s="1"/>
      <c r="P218" s="1">
        <v>0</v>
      </c>
      <c r="Q218" s="1">
        <f>989.513+394.651</f>
        <v>1384.164</v>
      </c>
      <c r="R218" s="7">
        <v>166.013</v>
      </c>
      <c r="S218" s="7">
        <v>5273.414</v>
      </c>
      <c r="T218" s="7">
        <f t="shared" si="7"/>
        <v>5439.427</v>
      </c>
      <c r="U218" s="7">
        <v>8055.83</v>
      </c>
      <c r="V218" s="7">
        <v>10.096</v>
      </c>
      <c r="W218" s="4" t="s">
        <v>139</v>
      </c>
      <c r="X218" s="4" t="s">
        <v>143</v>
      </c>
      <c r="Y218" s="7">
        <f>IF(X218="rub",R218,R218*'Курс доллара'!$F$8)</f>
        <v>166.013</v>
      </c>
      <c r="Z218" s="7">
        <f>IF(X218="rub",S218,S218*'Курс доллара'!$F$8)</f>
        <v>5273.414</v>
      </c>
      <c r="AA218" s="7">
        <f>IF(X218="rub",T218,T218*'Курс доллара'!$F$8)</f>
        <v>5439.427</v>
      </c>
      <c r="AB218" s="7">
        <f>IF(X218="rub",U218,U218*'Курс доллара'!$C$8)</f>
        <v>8055.83</v>
      </c>
      <c r="AC218" s="7">
        <f>IF(X218="rub",V218,V218*'Курс доллара'!$F$8)</f>
        <v>10.096</v>
      </c>
      <c r="AD218" s="7" t="str">
        <f>W218</f>
        <v>рсбу</v>
      </c>
      <c r="AE218" s="4" t="s">
        <v>143</v>
      </c>
    </row>
    <row r="219" spans="1:31" ht="12.75">
      <c r="A219">
        <v>55</v>
      </c>
      <c r="B219" s="2" t="s">
        <v>54</v>
      </c>
      <c r="C219" s="1" t="s">
        <v>111</v>
      </c>
      <c r="D219" s="1">
        <v>2007</v>
      </c>
      <c r="E219" s="1">
        <v>4036000000</v>
      </c>
      <c r="F219" s="1" t="s">
        <v>122</v>
      </c>
      <c r="G219" s="1">
        <v>6012560000</v>
      </c>
      <c r="H219" s="1">
        <v>8042000000</v>
      </c>
      <c r="I219" s="1">
        <v>25251</v>
      </c>
      <c r="J219" s="1">
        <v>2382</v>
      </c>
      <c r="K219" s="1">
        <v>39635</v>
      </c>
      <c r="L219" s="1">
        <v>29499</v>
      </c>
      <c r="M219" s="1">
        <v>25050</v>
      </c>
      <c r="N219" s="17">
        <f t="shared" si="11"/>
        <v>0.2726194108274857</v>
      </c>
      <c r="O219" s="1">
        <v>22.13202</v>
      </c>
      <c r="P219" s="1">
        <v>11065</v>
      </c>
      <c r="Q219" s="1">
        <v>24205</v>
      </c>
      <c r="R219" s="7">
        <f>1972+71</f>
        <v>2043</v>
      </c>
      <c r="S219" s="7">
        <v>10122</v>
      </c>
      <c r="T219" s="7">
        <f t="shared" si="7"/>
        <v>12165</v>
      </c>
      <c r="U219" s="7">
        <v>7291</v>
      </c>
      <c r="V219" s="7">
        <v>728</v>
      </c>
      <c r="W219" s="4" t="s">
        <v>144</v>
      </c>
      <c r="X219" s="4" t="s">
        <v>143</v>
      </c>
      <c r="Y219" s="7">
        <f>IF(X219="rub",R219,R219*'Курс доллара'!$F$5)</f>
        <v>2043</v>
      </c>
      <c r="Z219" s="7">
        <f>IF(X219="rub",S219,S219*'Курс доллара'!$F$5)</f>
        <v>10122</v>
      </c>
      <c r="AA219" s="7">
        <f>IF(X219="rub",T219,T219*'Курс доллара'!$F$5)</f>
        <v>12165</v>
      </c>
      <c r="AB219" s="7">
        <f>IF(X219="rub",U219,U219*'Курс доллара'!$C$5)</f>
        <v>7291</v>
      </c>
      <c r="AC219" s="7">
        <f>IF(X219="rub",V219,V219*'Курс доллара'!$F$5)</f>
        <v>728</v>
      </c>
      <c r="AD219" s="7" t="str">
        <f t="shared" si="8"/>
        <v>мсфо</v>
      </c>
      <c r="AE219" s="4" t="s">
        <v>143</v>
      </c>
    </row>
    <row r="220" spans="2:31" ht="12.75">
      <c r="B220" s="2" t="s">
        <v>54</v>
      </c>
      <c r="C220" s="1" t="s">
        <v>111</v>
      </c>
      <c r="D220" s="1">
        <v>2008</v>
      </c>
      <c r="E220" s="1">
        <v>8496000000</v>
      </c>
      <c r="F220" s="1" t="s">
        <v>122</v>
      </c>
      <c r="G220" s="1">
        <v>29479585000</v>
      </c>
      <c r="H220" s="1">
        <v>21939000000</v>
      </c>
      <c r="I220" s="1">
        <v>34800</v>
      </c>
      <c r="J220" s="1">
        <v>19641</v>
      </c>
      <c r="K220" s="1">
        <v>62323</v>
      </c>
      <c r="L220" s="1">
        <v>62798</v>
      </c>
      <c r="M220" s="1">
        <v>34599</v>
      </c>
      <c r="N220" s="17">
        <f t="shared" si="11"/>
        <v>0.34935825981719165</v>
      </c>
      <c r="O220" s="1">
        <v>43.03144</v>
      </c>
      <c r="P220" s="1">
        <v>14798</v>
      </c>
      <c r="Q220" s="1">
        <v>30642</v>
      </c>
      <c r="R220" s="7">
        <f>2501+71</f>
        <v>2572</v>
      </c>
      <c r="S220" s="7">
        <v>38833</v>
      </c>
      <c r="T220" s="7">
        <f t="shared" si="7"/>
        <v>41405</v>
      </c>
      <c r="U220" s="7">
        <v>16174</v>
      </c>
      <c r="V220" s="7">
        <v>702</v>
      </c>
      <c r="W220" s="4" t="s">
        <v>144</v>
      </c>
      <c r="X220" s="4" t="s">
        <v>143</v>
      </c>
      <c r="Y220" s="7">
        <f>IF(X220="rub",R220,R220*'Курс доллара'!$F$6)</f>
        <v>2572</v>
      </c>
      <c r="Z220" s="7">
        <f>IF(X220="rub",S220,S220*'Курс доллара'!$F$6)</f>
        <v>38833</v>
      </c>
      <c r="AA220" s="7">
        <f>IF(X220="rub",T220,T220*'Курс доллара'!$F$6)</f>
        <v>41405</v>
      </c>
      <c r="AB220" s="7">
        <f>IF(X220="rub",U220,U220*'Курс доллара'!$C$6)</f>
        <v>16174</v>
      </c>
      <c r="AC220" s="7">
        <f>IF(X220="rub",V220,V220*'Курс доллара'!$F$6)</f>
        <v>702</v>
      </c>
      <c r="AD220" s="7" t="str">
        <f t="shared" si="8"/>
        <v>мсфо</v>
      </c>
      <c r="AE220" s="4" t="s">
        <v>143</v>
      </c>
    </row>
    <row r="221" spans="2:31" ht="12.75">
      <c r="B221" s="2" t="s">
        <v>54</v>
      </c>
      <c r="C221" s="1" t="s">
        <v>111</v>
      </c>
      <c r="D221" s="1">
        <v>2009</v>
      </c>
      <c r="E221" s="1">
        <v>3611000000</v>
      </c>
      <c r="F221" s="1" t="s">
        <v>122</v>
      </c>
      <c r="G221" s="1">
        <v>1153184000</v>
      </c>
      <c r="H221" s="1">
        <v>9091000000</v>
      </c>
      <c r="I221" s="1">
        <v>43889</v>
      </c>
      <c r="J221" s="1">
        <v>-8506</v>
      </c>
      <c r="K221" s="1">
        <v>62628</v>
      </c>
      <c r="L221" s="1">
        <v>33809</v>
      </c>
      <c r="M221" s="1">
        <v>43688</v>
      </c>
      <c r="N221" s="17">
        <f t="shared" si="11"/>
        <v>0.26889289834067853</v>
      </c>
      <c r="O221" s="1">
        <v>14.5481</v>
      </c>
      <c r="P221" s="1">
        <v>14015</v>
      </c>
      <c r="Q221" s="1">
        <v>42208</v>
      </c>
      <c r="R221" s="7">
        <f>3233+57</f>
        <v>3290</v>
      </c>
      <c r="S221" s="7">
        <v>13188</v>
      </c>
      <c r="T221" s="7">
        <f t="shared" si="7"/>
        <v>16478</v>
      </c>
      <c r="U221" s="7">
        <v>4297</v>
      </c>
      <c r="V221" s="7">
        <v>411</v>
      </c>
      <c r="W221" s="4" t="s">
        <v>144</v>
      </c>
      <c r="X221" s="4" t="s">
        <v>143</v>
      </c>
      <c r="Y221" s="7">
        <f>IF(X221="rub",R221,R221*'Курс доллара'!$F$7)</f>
        <v>3290</v>
      </c>
      <c r="Z221" s="7">
        <f>IF(X221="rub",S221,S221*'Курс доллара'!$F$7)</f>
        <v>13188</v>
      </c>
      <c r="AA221" s="7">
        <f>IF(X221="rub",T221,T221*'Курс доллара'!$F$7)</f>
        <v>16478</v>
      </c>
      <c r="AB221" s="7">
        <f>IF(X221="rub",U221,U221*'Курс доллара'!$C$7)</f>
        <v>4297</v>
      </c>
      <c r="AC221" s="7">
        <f>IF(X221="rub",V221,V221*'Курс доллара'!$F$7)</f>
        <v>411</v>
      </c>
      <c r="AD221" s="7" t="str">
        <f t="shared" si="8"/>
        <v>мсфо</v>
      </c>
      <c r="AE221" s="4" t="s">
        <v>143</v>
      </c>
    </row>
    <row r="222" spans="2:31" ht="12.75">
      <c r="B222" s="2" t="s">
        <v>54</v>
      </c>
      <c r="C222" s="1" t="s">
        <v>111</v>
      </c>
      <c r="D222" s="1">
        <v>2010</v>
      </c>
      <c r="E222" s="1">
        <v>3565000000</v>
      </c>
      <c r="F222" s="1"/>
      <c r="G222" s="1"/>
      <c r="H222" s="1">
        <v>16654000000</v>
      </c>
      <c r="I222" s="1">
        <f>56837+150-12</f>
        <v>56975</v>
      </c>
      <c r="J222" s="1"/>
      <c r="K222" s="1">
        <v>74806</v>
      </c>
      <c r="L222" s="1">
        <v>51592</v>
      </c>
      <c r="M222" s="1">
        <v>56774</v>
      </c>
      <c r="N222" s="17">
        <f t="shared" si="11"/>
        <v>0.3228019848038456</v>
      </c>
      <c r="O222" s="1"/>
      <c r="P222" s="1">
        <f>9216+2589</f>
        <v>11805</v>
      </c>
      <c r="Q222" s="1">
        <v>47144</v>
      </c>
      <c r="R222" s="7">
        <f>3966+56</f>
        <v>4022</v>
      </c>
      <c r="S222" s="7">
        <v>20450</v>
      </c>
      <c r="T222" s="7">
        <f t="shared" si="7"/>
        <v>24472</v>
      </c>
      <c r="U222" s="7">
        <v>14765</v>
      </c>
      <c r="V222" s="7">
        <v>549</v>
      </c>
      <c r="W222" s="4" t="s">
        <v>144</v>
      </c>
      <c r="X222" s="4" t="s">
        <v>143</v>
      </c>
      <c r="Y222" s="7">
        <f>IF(X222="rub",R222,R222*'Курс доллара'!$F$8)</f>
        <v>4022</v>
      </c>
      <c r="Z222" s="7">
        <f>IF(X222="rub",S222,S222*'Курс доллара'!$F$8)</f>
        <v>20450</v>
      </c>
      <c r="AA222" s="7">
        <f>IF(X222="rub",T222,T222*'Курс доллара'!$F$8)</f>
        <v>24472</v>
      </c>
      <c r="AB222" s="7">
        <f>IF(X222="rub",U222,U222*'Курс доллара'!$C$8)</f>
        <v>14765</v>
      </c>
      <c r="AC222" s="7">
        <f>IF(X222="rub",V222,V222*'Курс доллара'!$F$8)</f>
        <v>549</v>
      </c>
      <c r="AD222" s="7" t="str">
        <f>W222</f>
        <v>мсфо</v>
      </c>
      <c r="AE222" s="4" t="s">
        <v>143</v>
      </c>
    </row>
    <row r="223" spans="1:31" ht="12.75">
      <c r="A223">
        <v>56</v>
      </c>
      <c r="B223" s="2" t="s">
        <v>55</v>
      </c>
      <c r="C223" s="1" t="s">
        <v>112</v>
      </c>
      <c r="D223" s="1">
        <v>2007</v>
      </c>
      <c r="E223" s="1">
        <v>737090504</v>
      </c>
      <c r="F223" s="1">
        <v>368532154</v>
      </c>
      <c r="G223" s="1">
        <v>1600600000</v>
      </c>
      <c r="H223" s="1">
        <v>2297000000</v>
      </c>
      <c r="I223" s="1">
        <v>12778.22</v>
      </c>
      <c r="J223" s="1">
        <v>3593.691</v>
      </c>
      <c r="K223" s="1">
        <v>57376.84</v>
      </c>
      <c r="L223" s="1">
        <v>39146.62</v>
      </c>
      <c r="M223" s="1">
        <v>19819.3</v>
      </c>
      <c r="N223" s="17">
        <f t="shared" si="11"/>
        <v>0.05867684106571652</v>
      </c>
      <c r="O223" s="1">
        <v>3.450271</v>
      </c>
      <c r="P223" s="1">
        <v>26588.03</v>
      </c>
      <c r="Q223" s="1">
        <v>49046.8</v>
      </c>
      <c r="R223" s="7">
        <v>6514</v>
      </c>
      <c r="S223" s="7">
        <v>6257</v>
      </c>
      <c r="T223" s="7">
        <f t="shared" si="7"/>
        <v>12771</v>
      </c>
      <c r="U223" s="7">
        <v>705</v>
      </c>
      <c r="V223" s="7">
        <v>2756</v>
      </c>
      <c r="W223" s="4" t="s">
        <v>144</v>
      </c>
      <c r="X223" s="4" t="s">
        <v>143</v>
      </c>
      <c r="Y223" s="7">
        <f>IF(X223="rub",R223,R223*'Курс доллара'!$F$5)</f>
        <v>6514</v>
      </c>
      <c r="Z223" s="7">
        <f>IF(X223="rub",S223,S223*'Курс доллара'!$F$5)</f>
        <v>6257</v>
      </c>
      <c r="AA223" s="7">
        <f>IF(X223="rub",T223,T223*'Курс доллара'!$F$5)</f>
        <v>12771</v>
      </c>
      <c r="AB223" s="7">
        <f>IF(X223="rub",U223,U223*'Курс доллара'!$C$5)</f>
        <v>705</v>
      </c>
      <c r="AC223" s="7">
        <f>IF(X223="rub",V223,V223*'Курс доллара'!$F$5)</f>
        <v>2756</v>
      </c>
      <c r="AD223" s="7" t="str">
        <f t="shared" si="8"/>
        <v>мсфо</v>
      </c>
      <c r="AE223" s="4" t="s">
        <v>143</v>
      </c>
    </row>
    <row r="224" spans="2:31" ht="12.75">
      <c r="B224" s="2" t="s">
        <v>55</v>
      </c>
      <c r="C224" s="1" t="s">
        <v>112</v>
      </c>
      <c r="D224" s="1">
        <v>2008</v>
      </c>
      <c r="E224" s="1">
        <v>401699951</v>
      </c>
      <c r="F224" s="1">
        <v>267793293</v>
      </c>
      <c r="G224" s="1">
        <v>2677880000</v>
      </c>
      <c r="H224" s="1">
        <v>2535000000</v>
      </c>
      <c r="I224" s="1">
        <v>13941</v>
      </c>
      <c r="J224" s="1">
        <v>3414</v>
      </c>
      <c r="K224" s="1">
        <v>62333</v>
      </c>
      <c r="L224" s="1">
        <v>40691</v>
      </c>
      <c r="M224" s="1">
        <v>20982</v>
      </c>
      <c r="N224" s="17">
        <f t="shared" si="11"/>
        <v>0.06229878842987393</v>
      </c>
      <c r="O224" s="1">
        <v>3.787849</v>
      </c>
      <c r="P224" s="1">
        <v>27691</v>
      </c>
      <c r="Q224" s="1">
        <v>52217</v>
      </c>
      <c r="R224" s="7">
        <v>7675</v>
      </c>
      <c r="S224" s="7">
        <v>6481</v>
      </c>
      <c r="T224" s="7">
        <f t="shared" si="7"/>
        <v>14156</v>
      </c>
      <c r="U224" s="7">
        <v>1095</v>
      </c>
      <c r="V224" s="7">
        <v>2898</v>
      </c>
      <c r="W224" s="4" t="s">
        <v>144</v>
      </c>
      <c r="X224" s="4" t="s">
        <v>143</v>
      </c>
      <c r="Y224" s="7">
        <f>IF(X224="rub",R224,R224*'Курс доллара'!$F$6)</f>
        <v>7675</v>
      </c>
      <c r="Z224" s="7">
        <f>IF(X224="rub",S224,S224*'Курс доллара'!$F$6)</f>
        <v>6481</v>
      </c>
      <c r="AA224" s="7">
        <f>IF(X224="rub",T224,T224*'Курс доллара'!$F$6)</f>
        <v>14156</v>
      </c>
      <c r="AB224" s="7">
        <f>IF(X224="rub",U224,U224*'Курс доллара'!$C$6)</f>
        <v>1095</v>
      </c>
      <c r="AC224" s="7">
        <f>IF(X224="rub",V224,V224*'Курс доллара'!$F$6)</f>
        <v>2898</v>
      </c>
      <c r="AD224" s="7" t="str">
        <f t="shared" si="8"/>
        <v>мсфо</v>
      </c>
      <c r="AE224" s="4" t="s">
        <v>143</v>
      </c>
    </row>
    <row r="225" spans="2:31" ht="12.75">
      <c r="B225" s="2" t="s">
        <v>55</v>
      </c>
      <c r="C225" s="1" t="s">
        <v>112</v>
      </c>
      <c r="D225" s="1">
        <v>2009</v>
      </c>
      <c r="E225" s="1">
        <v>610350084</v>
      </c>
      <c r="F225" s="1">
        <v>406896923</v>
      </c>
      <c r="G225" s="1">
        <v>4068930000</v>
      </c>
      <c r="H225" s="1">
        <v>3654000000</v>
      </c>
      <c r="I225" s="1">
        <v>16929</v>
      </c>
      <c r="J225" s="1">
        <v>8248</v>
      </c>
      <c r="K225" s="1">
        <v>60202</v>
      </c>
      <c r="L225" s="1">
        <v>40412</v>
      </c>
      <c r="M225" s="1">
        <v>25678</v>
      </c>
      <c r="N225" s="17">
        <f t="shared" si="11"/>
        <v>0.09041868751855885</v>
      </c>
      <c r="O225" s="1">
        <v>5.96401</v>
      </c>
      <c r="P225" s="1">
        <v>22728</v>
      </c>
      <c r="Q225" s="1">
        <v>48621</v>
      </c>
      <c r="R225" s="7">
        <v>8252</v>
      </c>
      <c r="S225" s="7">
        <v>7993</v>
      </c>
      <c r="T225" s="7">
        <f t="shared" si="7"/>
        <v>16245</v>
      </c>
      <c r="U225" s="7">
        <v>1624</v>
      </c>
      <c r="V225" s="7">
        <v>3483</v>
      </c>
      <c r="W225" s="4" t="s">
        <v>144</v>
      </c>
      <c r="X225" s="4" t="s">
        <v>143</v>
      </c>
      <c r="Y225" s="7">
        <f>IF(X225="rub",R225,R225*'Курс доллара'!$F$7)</f>
        <v>8252</v>
      </c>
      <c r="Z225" s="7">
        <f>IF(X225="rub",S225,S225*'Курс доллара'!$F$7)</f>
        <v>7993</v>
      </c>
      <c r="AA225" s="7">
        <f>IF(X225="rub",T225,T225*'Курс доллара'!$F$7)</f>
        <v>16245</v>
      </c>
      <c r="AB225" s="7">
        <f>IF(X225="rub",U225,U225*'Курс доллара'!$C$7)</f>
        <v>1624</v>
      </c>
      <c r="AC225" s="7">
        <f>IF(X225="rub",V225,V225*'Курс доллара'!$F$7)</f>
        <v>3483</v>
      </c>
      <c r="AD225" s="7" t="str">
        <f t="shared" si="8"/>
        <v>мсфо</v>
      </c>
      <c r="AE225" s="4" t="s">
        <v>143</v>
      </c>
    </row>
    <row r="226" spans="2:31" ht="12.75">
      <c r="B226" s="2" t="s">
        <v>55</v>
      </c>
      <c r="C226" s="1" t="s">
        <v>112</v>
      </c>
      <c r="D226" s="1">
        <v>2010</v>
      </c>
      <c r="E226" s="1">
        <v>2525000000</v>
      </c>
      <c r="F226" s="1"/>
      <c r="G226" s="1"/>
      <c r="H226" s="1">
        <v>7237000000</v>
      </c>
      <c r="I226" s="1">
        <f>21594+130-701</f>
        <v>21023</v>
      </c>
      <c r="J226" s="1"/>
      <c r="K226" s="1">
        <v>58775</v>
      </c>
      <c r="L226" s="1">
        <v>43105</v>
      </c>
      <c r="M226" s="1">
        <v>29772</v>
      </c>
      <c r="N226" s="17">
        <f t="shared" si="11"/>
        <v>0.1678923558751885</v>
      </c>
      <c r="O226" s="1"/>
      <c r="P226" s="1">
        <f>9498+7223</f>
        <v>16721</v>
      </c>
      <c r="Q226" s="1">
        <f>46519+142</f>
        <v>46661</v>
      </c>
      <c r="R226" s="7">
        <v>7893</v>
      </c>
      <c r="S226" s="7">
        <v>10741</v>
      </c>
      <c r="T226" s="7">
        <f t="shared" si="7"/>
        <v>18634</v>
      </c>
      <c r="U226" s="7">
        <v>531</v>
      </c>
      <c r="V226" s="7">
        <f>1346+249+184</f>
        <v>1779</v>
      </c>
      <c r="W226" s="4" t="s">
        <v>144</v>
      </c>
      <c r="X226" s="4" t="s">
        <v>143</v>
      </c>
      <c r="Y226" s="7">
        <f>IF(X226="rub",R226,R226*'Курс доллара'!$F$8)</f>
        <v>7893</v>
      </c>
      <c r="Z226" s="7">
        <f>IF(X226="rub",S226,S226*'Курс доллара'!$F$8)</f>
        <v>10741</v>
      </c>
      <c r="AA226" s="7">
        <f>IF(X226="rub",T226,T226*'Курс доллара'!$F$8)</f>
        <v>18634</v>
      </c>
      <c r="AB226" s="7">
        <f>IF(X226="rub",U226,U226*'Курс доллара'!$C$8)</f>
        <v>531</v>
      </c>
      <c r="AC226" s="7">
        <f>IF(X226="rub",V226,V226*'Курс доллара'!$F$8)</f>
        <v>1779</v>
      </c>
      <c r="AD226" s="7" t="str">
        <f>W226</f>
        <v>мсфо</v>
      </c>
      <c r="AE226" s="4" t="s">
        <v>143</v>
      </c>
    </row>
    <row r="227" spans="1:31" ht="12.75">
      <c r="A227">
        <v>57</v>
      </c>
      <c r="B227" s="2" t="s">
        <v>56</v>
      </c>
      <c r="C227" s="1" t="s">
        <v>113</v>
      </c>
      <c r="D227" s="1">
        <v>2007</v>
      </c>
      <c r="E227" s="1">
        <v>380000000</v>
      </c>
      <c r="F227" s="1" t="s">
        <v>122</v>
      </c>
      <c r="G227" s="1">
        <v>2296000000</v>
      </c>
      <c r="H227" s="1">
        <v>1612000000</v>
      </c>
      <c r="I227" s="1">
        <v>75093</v>
      </c>
      <c r="J227" s="1">
        <v>-43847</v>
      </c>
      <c r="K227" s="1">
        <v>424925</v>
      </c>
      <c r="L227" s="1">
        <v>61087</v>
      </c>
      <c r="M227" s="1">
        <v>255784</v>
      </c>
      <c r="N227" s="17">
        <f t="shared" si="11"/>
        <v>0.026388593317727176</v>
      </c>
      <c r="O227" s="1">
        <v>0.984915</v>
      </c>
      <c r="P227" s="1">
        <v>33427</v>
      </c>
      <c r="Q227" s="1">
        <v>367881</v>
      </c>
      <c r="R227" s="7">
        <f>13733+422</f>
        <v>14155</v>
      </c>
      <c r="S227" s="7">
        <v>6727</v>
      </c>
      <c r="T227" s="7">
        <f t="shared" si="7"/>
        <v>20882</v>
      </c>
      <c r="U227" s="7">
        <v>15740</v>
      </c>
      <c r="V227" s="7">
        <v>3465</v>
      </c>
      <c r="W227" s="4" t="s">
        <v>144</v>
      </c>
      <c r="X227" s="4" t="s">
        <v>143</v>
      </c>
      <c r="Y227" s="7">
        <f>IF(X227="rub",R227,R227*'Курс доллара'!$F$5)</f>
        <v>14155</v>
      </c>
      <c r="Z227" s="7">
        <f>IF(X227="rub",S227,S227*'Курс доллара'!$F$5)</f>
        <v>6727</v>
      </c>
      <c r="AA227" s="7">
        <f>IF(X227="rub",T227,T227*'Курс доллара'!$F$5)</f>
        <v>20882</v>
      </c>
      <c r="AB227" s="7">
        <f>IF(X227="rub",U227,U227*'Курс доллара'!$C$5)</f>
        <v>15740</v>
      </c>
      <c r="AC227" s="7">
        <f>IF(X227="rub",V227,V227*'Курс доллара'!$F$5)</f>
        <v>3465</v>
      </c>
      <c r="AD227" s="7" t="str">
        <f t="shared" si="8"/>
        <v>мсфо</v>
      </c>
      <c r="AE227" s="4" t="s">
        <v>143</v>
      </c>
    </row>
    <row r="228" spans="2:31" ht="12.75">
      <c r="B228" s="2" t="s">
        <v>56</v>
      </c>
      <c r="C228" s="1" t="s">
        <v>113</v>
      </c>
      <c r="D228" s="1">
        <v>2008</v>
      </c>
      <c r="E228" s="1" t="s">
        <v>122</v>
      </c>
      <c r="F228" s="1" t="s">
        <v>122</v>
      </c>
      <c r="G228" s="1">
        <v>4465000000</v>
      </c>
      <c r="H228" s="1">
        <v>-23837000000</v>
      </c>
      <c r="I228" s="1">
        <v>3613</v>
      </c>
      <c r="J228" s="1">
        <v>-90191</v>
      </c>
      <c r="K228" s="1">
        <v>697741</v>
      </c>
      <c r="L228" s="1">
        <v>70807</v>
      </c>
      <c r="M228" s="1">
        <v>590717</v>
      </c>
      <c r="N228" s="17">
        <f t="shared" si="11"/>
        <v>-0.33664750660245457</v>
      </c>
      <c r="O228" s="1">
        <v>-4.237057</v>
      </c>
      <c r="P228" s="1">
        <v>33529</v>
      </c>
      <c r="Q228" s="1">
        <v>530133</v>
      </c>
      <c r="R228" s="7">
        <f>16216+451</f>
        <v>16667</v>
      </c>
      <c r="S228" s="7">
        <v>10035</v>
      </c>
      <c r="T228" s="7">
        <f t="shared" si="7"/>
        <v>26702</v>
      </c>
      <c r="U228" s="7">
        <v>15685</v>
      </c>
      <c r="V228" s="7">
        <v>2777</v>
      </c>
      <c r="W228" s="4" t="s">
        <v>144</v>
      </c>
      <c r="X228" s="4" t="s">
        <v>143</v>
      </c>
      <c r="Y228" s="7">
        <f>IF(X228="rub",R228,R228*'Курс доллара'!$F$6)</f>
        <v>16667</v>
      </c>
      <c r="Z228" s="7">
        <f>IF(X228="rub",S228,S228*'Курс доллара'!$F$6)</f>
        <v>10035</v>
      </c>
      <c r="AA228" s="7">
        <f>IF(X228="rub",T228,T228*'Курс доллара'!$F$6)</f>
        <v>26702</v>
      </c>
      <c r="AB228" s="7">
        <f>IF(X228="rub",U228,U228*'Курс доллара'!$C$6)</f>
        <v>15685</v>
      </c>
      <c r="AC228" s="7">
        <f>IF(X228="rub",V228,V228*'Курс доллара'!$F$6)</f>
        <v>2777</v>
      </c>
      <c r="AD228" s="7" t="str">
        <f t="shared" si="8"/>
        <v>мсфо</v>
      </c>
      <c r="AE228" s="4" t="s">
        <v>143</v>
      </c>
    </row>
    <row r="229" spans="2:31" ht="12.75">
      <c r="B229" s="2" t="s">
        <v>56</v>
      </c>
      <c r="C229" s="1" t="s">
        <v>113</v>
      </c>
      <c r="D229" s="1">
        <v>2009</v>
      </c>
      <c r="E229" s="1" t="s">
        <v>122</v>
      </c>
      <c r="F229" s="1" t="s">
        <v>122</v>
      </c>
      <c r="G229" s="1">
        <v>-59866000000</v>
      </c>
      <c r="H229" s="1">
        <v>-63974000000</v>
      </c>
      <c r="I229" s="1">
        <v>212874</v>
      </c>
      <c r="J229" s="1">
        <v>-52605</v>
      </c>
      <c r="K229" s="1">
        <v>976424</v>
      </c>
      <c r="L229" s="1">
        <v>87580</v>
      </c>
      <c r="M229" s="1">
        <v>799978</v>
      </c>
      <c r="N229" s="17">
        <f t="shared" si="11"/>
        <v>-0.7304635761589404</v>
      </c>
      <c r="O229" s="1">
        <v>-7.310629</v>
      </c>
      <c r="P229" s="1">
        <v>13545</v>
      </c>
      <c r="Q229" s="1">
        <v>784501</v>
      </c>
      <c r="R229" s="7">
        <f>16740+930</f>
        <v>17670</v>
      </c>
      <c r="S229" s="7">
        <v>-86344</v>
      </c>
      <c r="T229" s="7">
        <f t="shared" si="7"/>
        <v>-68674</v>
      </c>
      <c r="U229" s="7">
        <v>33699</v>
      </c>
      <c r="V229" s="7">
        <v>1928</v>
      </c>
      <c r="W229" s="4" t="s">
        <v>144</v>
      </c>
      <c r="X229" s="4" t="s">
        <v>143</v>
      </c>
      <c r="Y229" s="7">
        <f>IF(X229="rub",R229,R229*'Курс доллара'!$F$7)</f>
        <v>17670</v>
      </c>
      <c r="Z229" s="7">
        <f>IF(X229="rub",S229,S229*'Курс доллара'!$F$7)</f>
        <v>-86344</v>
      </c>
      <c r="AA229" s="7">
        <f>IF(X229="rub",T229,T229*'Курс доллара'!$F$7)</f>
        <v>-68674</v>
      </c>
      <c r="AB229" s="7">
        <f>IF(X229="rub",U229,U229*'Курс доллара'!$C$7)</f>
        <v>33699</v>
      </c>
      <c r="AC229" s="7">
        <f>IF(X229="rub",V229,V229*'Курс доллара'!$F$7)</f>
        <v>1928</v>
      </c>
      <c r="AD229" s="7" t="str">
        <f t="shared" si="8"/>
        <v>мсфо</v>
      </c>
      <c r="AE229" s="4" t="s">
        <v>143</v>
      </c>
    </row>
    <row r="230" spans="2:31" ht="12.75">
      <c r="B230" s="2" t="s">
        <v>56</v>
      </c>
      <c r="C230" s="1" t="s">
        <v>113</v>
      </c>
      <c r="D230" s="1">
        <v>2010</v>
      </c>
      <c r="E230" s="1">
        <v>2577600000</v>
      </c>
      <c r="F230" s="1"/>
      <c r="G230" s="1"/>
      <c r="H230" s="1">
        <v>18383000000</v>
      </c>
      <c r="I230" s="1">
        <f>361267-108525-6874</f>
        <v>245868</v>
      </c>
      <c r="J230" s="1"/>
      <c r="K230" s="1">
        <v>1071648</v>
      </c>
      <c r="L230" s="1">
        <v>113330</v>
      </c>
      <c r="M230" s="1">
        <v>873160</v>
      </c>
      <c r="N230" s="17">
        <f t="shared" si="11"/>
        <v>0.16220771199152917</v>
      </c>
      <c r="O230" s="1"/>
      <c r="P230" s="1">
        <f>50000+7385</f>
        <v>57385</v>
      </c>
      <c r="Q230" s="1">
        <v>851228</v>
      </c>
      <c r="R230" s="7">
        <f>30185+869</f>
        <v>31054</v>
      </c>
      <c r="S230" s="7">
        <v>22805</v>
      </c>
      <c r="T230" s="7">
        <f t="shared" si="7"/>
        <v>53859</v>
      </c>
      <c r="U230" s="7">
        <v>13573</v>
      </c>
      <c r="V230" s="7">
        <v>1906</v>
      </c>
      <c r="W230" s="4" t="s">
        <v>144</v>
      </c>
      <c r="X230" s="4" t="s">
        <v>143</v>
      </c>
      <c r="Y230" s="7">
        <f>IF(X230="rub",R230,R230*'Курс доллара'!$F$8)</f>
        <v>31054</v>
      </c>
      <c r="Z230" s="7">
        <f>IF(X230="rub",S230,S230*'Курс доллара'!$F$8)</f>
        <v>22805</v>
      </c>
      <c r="AA230" s="7">
        <f>IF(X230="rub",T230,T230*'Курс доллара'!$F$8)</f>
        <v>53859</v>
      </c>
      <c r="AB230" s="7">
        <f>IF(X230="rub",U230,U230*'Курс доллара'!$C$8)</f>
        <v>13573</v>
      </c>
      <c r="AC230" s="7">
        <f>IF(X230="rub",V230,V230*'Курс доллара'!$F$8)</f>
        <v>1906</v>
      </c>
      <c r="AD230" s="7" t="str">
        <f>W230</f>
        <v>мсфо</v>
      </c>
      <c r="AE230" s="4" t="s">
        <v>143</v>
      </c>
    </row>
    <row r="231" spans="1:31" ht="12.75">
      <c r="A231">
        <v>58</v>
      </c>
      <c r="B231" s="2" t="s">
        <v>57</v>
      </c>
      <c r="C231" s="1" t="s">
        <v>114</v>
      </c>
      <c r="D231" s="1">
        <v>2007</v>
      </c>
      <c r="E231" s="1">
        <v>559739693</v>
      </c>
      <c r="F231" s="1">
        <v>363467298</v>
      </c>
      <c r="G231" s="1">
        <v>3634673000</v>
      </c>
      <c r="H231" s="1">
        <v>4309000000</v>
      </c>
      <c r="I231" s="1">
        <v>10369</v>
      </c>
      <c r="J231" s="1">
        <v>3290</v>
      </c>
      <c r="K231" s="1">
        <v>48197</v>
      </c>
      <c r="L231" s="1">
        <v>33457</v>
      </c>
      <c r="M231" s="1">
        <v>15544</v>
      </c>
      <c r="N231" s="17">
        <f t="shared" si="11"/>
        <v>0.12879218100845863</v>
      </c>
      <c r="O231" s="1">
        <v>8.536066</v>
      </c>
      <c r="P231" s="1">
        <v>21467</v>
      </c>
      <c r="Q231" s="1">
        <v>36924</v>
      </c>
      <c r="R231" s="7">
        <v>4207</v>
      </c>
      <c r="S231" s="7">
        <v>8078</v>
      </c>
      <c r="T231" s="7">
        <f t="shared" si="7"/>
        <v>12285</v>
      </c>
      <c r="U231" s="7">
        <v>569</v>
      </c>
      <c r="V231" s="7">
        <v>2363</v>
      </c>
      <c r="W231" s="4" t="s">
        <v>144</v>
      </c>
      <c r="X231" s="4" t="s">
        <v>143</v>
      </c>
      <c r="Y231" s="7">
        <f>IF(X231="rub",R231,R231*'Курс доллара'!$F$5)</f>
        <v>4207</v>
      </c>
      <c r="Z231" s="7">
        <f>IF(X231="rub",S231,S231*'Курс доллара'!$F$5)</f>
        <v>8078</v>
      </c>
      <c r="AA231" s="7">
        <f>IF(X231="rub",T231,T231*'Курс доллара'!$F$5)</f>
        <v>12285</v>
      </c>
      <c r="AB231" s="7">
        <f>IF(X231="rub",U231,U231*'Курс доллара'!$C$5)</f>
        <v>569</v>
      </c>
      <c r="AC231" s="7">
        <f>IF(X231="rub",V231,V231*'Курс доллара'!$F$5)</f>
        <v>2363</v>
      </c>
      <c r="AD231" s="7" t="str">
        <f t="shared" si="8"/>
        <v>мсфо</v>
      </c>
      <c r="AE231" s="4" t="s">
        <v>143</v>
      </c>
    </row>
    <row r="232" spans="2:31" ht="12.75">
      <c r="B232" s="2" t="s">
        <v>57</v>
      </c>
      <c r="C232" s="1" t="s">
        <v>114</v>
      </c>
      <c r="D232" s="1">
        <v>2008</v>
      </c>
      <c r="E232" s="1">
        <v>387824060</v>
      </c>
      <c r="F232" s="1">
        <v>258549406</v>
      </c>
      <c r="G232" s="1">
        <v>2585494000</v>
      </c>
      <c r="H232" s="1">
        <v>4220000000</v>
      </c>
      <c r="I232" s="1">
        <v>13658</v>
      </c>
      <c r="J232" s="1">
        <v>4779</v>
      </c>
      <c r="K232" s="1">
        <v>55091</v>
      </c>
      <c r="L232" s="1">
        <v>34794</v>
      </c>
      <c r="M232" s="1">
        <v>18833</v>
      </c>
      <c r="N232" s="17">
        <f t="shared" si="11"/>
        <v>0.12128527907110422</v>
      </c>
      <c r="O232" s="1">
        <v>7.673689</v>
      </c>
      <c r="P232" s="1">
        <v>24335</v>
      </c>
      <c r="Q232" s="1">
        <v>43305</v>
      </c>
      <c r="R232" s="7">
        <v>5173</v>
      </c>
      <c r="S232" s="7">
        <v>9097</v>
      </c>
      <c r="T232" s="7">
        <f t="shared" si="7"/>
        <v>14270</v>
      </c>
      <c r="U232" s="7">
        <v>570</v>
      </c>
      <c r="V232" s="7">
        <v>2680</v>
      </c>
      <c r="W232" s="4" t="s">
        <v>144</v>
      </c>
      <c r="X232" s="4" t="s">
        <v>143</v>
      </c>
      <c r="Y232" s="7">
        <f>IF(X232="rub",R232,R232*'Курс доллара'!$F$6)</f>
        <v>5173</v>
      </c>
      <c r="Z232" s="7">
        <f>IF(X232="rub",S232,S232*'Курс доллара'!$F$6)</f>
        <v>9097</v>
      </c>
      <c r="AA232" s="7">
        <f>IF(X232="rub",T232,T232*'Курс доллара'!$F$6)</f>
        <v>14270</v>
      </c>
      <c r="AB232" s="7">
        <f>IF(X232="rub",U232,U232*'Курс доллара'!$C$6)</f>
        <v>570</v>
      </c>
      <c r="AC232" s="7">
        <f>IF(X232="rub",V232,V232*'Курс доллара'!$F$6)</f>
        <v>2680</v>
      </c>
      <c r="AD232" s="7" t="str">
        <f t="shared" si="8"/>
        <v>мсфо</v>
      </c>
      <c r="AE232" s="4" t="s">
        <v>143</v>
      </c>
    </row>
    <row r="233" spans="2:31" ht="12.75">
      <c r="B233" s="2" t="s">
        <v>57</v>
      </c>
      <c r="C233" s="1" t="s">
        <v>114</v>
      </c>
      <c r="D233" s="1">
        <v>2009</v>
      </c>
      <c r="E233" s="1">
        <v>758778380</v>
      </c>
      <c r="F233" s="1">
        <v>505850926</v>
      </c>
      <c r="G233" s="1">
        <v>5058509000</v>
      </c>
      <c r="H233" s="1">
        <v>5868000000</v>
      </c>
      <c r="I233" s="1">
        <v>18878</v>
      </c>
      <c r="J233" s="1">
        <v>8738</v>
      </c>
      <c r="K233" s="1">
        <v>53673</v>
      </c>
      <c r="L233" s="1">
        <v>37309</v>
      </c>
      <c r="M233" s="1">
        <v>25778</v>
      </c>
      <c r="N233" s="17">
        <f t="shared" si="11"/>
        <v>0.15728108499289714</v>
      </c>
      <c r="O233" s="1">
        <v>10.7885</v>
      </c>
      <c r="P233" s="1">
        <v>17458</v>
      </c>
      <c r="Q233" s="1">
        <v>41774</v>
      </c>
      <c r="R233" s="7">
        <v>6401</v>
      </c>
      <c r="S233" s="7">
        <v>10514</v>
      </c>
      <c r="T233" s="7">
        <f t="shared" si="7"/>
        <v>16915</v>
      </c>
      <c r="U233" s="7">
        <v>900</v>
      </c>
      <c r="V233" s="7">
        <v>3087</v>
      </c>
      <c r="W233" s="4" t="s">
        <v>144</v>
      </c>
      <c r="X233" s="4" t="s">
        <v>143</v>
      </c>
      <c r="Y233" s="7">
        <f>IF(X233="rub",R233,R233*'Курс доллара'!$F$7)</f>
        <v>6401</v>
      </c>
      <c r="Z233" s="7">
        <f>IF(X233="rub",S233,S233*'Курс доллара'!$F$7)</f>
        <v>10514</v>
      </c>
      <c r="AA233" s="7">
        <f>IF(X233="rub",T233,T233*'Курс доллара'!$F$7)</f>
        <v>16915</v>
      </c>
      <c r="AB233" s="7">
        <f>IF(X233="rub",U233,U233*'Курс доллара'!$C$7)</f>
        <v>900</v>
      </c>
      <c r="AC233" s="7">
        <f>IF(X233="rub",V233,V233*'Курс доллара'!$F$7)</f>
        <v>3087</v>
      </c>
      <c r="AD233" s="7" t="str">
        <f t="shared" si="8"/>
        <v>мсфо</v>
      </c>
      <c r="AE233" s="4" t="s">
        <v>143</v>
      </c>
    </row>
    <row r="234" spans="2:31" ht="12.75">
      <c r="B234" s="2" t="s">
        <v>57</v>
      </c>
      <c r="C234" s="1" t="s">
        <v>114</v>
      </c>
      <c r="D234" s="1">
        <v>2010</v>
      </c>
      <c r="E234" s="1">
        <v>2569000000</v>
      </c>
      <c r="F234" s="1"/>
      <c r="G234" s="1"/>
      <c r="H234" s="1">
        <v>6732000000</v>
      </c>
      <c r="I234" s="1">
        <f>23547-387-1294</f>
        <v>21866</v>
      </c>
      <c r="J234" s="1"/>
      <c r="K234" s="1">
        <v>56749</v>
      </c>
      <c r="L234" s="1">
        <v>40639</v>
      </c>
      <c r="M234" s="1">
        <v>28766</v>
      </c>
      <c r="N234" s="17">
        <f t="shared" si="11"/>
        <v>0.16565368242328798</v>
      </c>
      <c r="O234" s="1"/>
      <c r="P234" s="1">
        <f>8537+8292</f>
        <v>16829</v>
      </c>
      <c r="Q234" s="1">
        <v>42397</v>
      </c>
      <c r="R234" s="7">
        <v>6608</v>
      </c>
      <c r="S234" s="7">
        <v>10429</v>
      </c>
      <c r="T234" s="7">
        <f t="shared" si="7"/>
        <v>17037</v>
      </c>
      <c r="U234" s="7">
        <v>314</v>
      </c>
      <c r="V234" s="7">
        <v>1978</v>
      </c>
      <c r="W234" s="4" t="s">
        <v>144</v>
      </c>
      <c r="X234" s="4" t="s">
        <v>143</v>
      </c>
      <c r="Y234" s="7">
        <f>IF(X234="rub",R234,R234*'Курс доллара'!$F$8)</f>
        <v>6608</v>
      </c>
      <c r="Z234" s="7">
        <f>IF(X234="rub",S234,S234*'Курс доллара'!$F$8)</f>
        <v>10429</v>
      </c>
      <c r="AA234" s="7">
        <f>IF(X234="rub",T234,T234*'Курс доллара'!$F$8)</f>
        <v>17037</v>
      </c>
      <c r="AB234" s="7">
        <f>IF(X234="rub",U234,U234*'Курс доллара'!$C$8)</f>
        <v>314</v>
      </c>
      <c r="AC234" s="7">
        <f>IF(X234="rub",V234,V234*'Курс доллара'!$F$8)</f>
        <v>1978</v>
      </c>
      <c r="AD234" s="7" t="str">
        <f>W234</f>
        <v>мсфо</v>
      </c>
      <c r="AE234" s="4" t="s">
        <v>143</v>
      </c>
    </row>
    <row r="235" spans="1:31" ht="12.75">
      <c r="A235">
        <v>59</v>
      </c>
      <c r="B235" s="2" t="s">
        <v>58</v>
      </c>
      <c r="C235" s="1" t="s">
        <v>121</v>
      </c>
      <c r="D235" s="1">
        <v>2007</v>
      </c>
      <c r="E235" s="1">
        <v>241924723</v>
      </c>
      <c r="F235" s="1">
        <v>182681912</v>
      </c>
      <c r="G235" s="1">
        <v>1826811000</v>
      </c>
      <c r="H235" s="1">
        <v>1562000000</v>
      </c>
      <c r="I235" s="1">
        <v>6615</v>
      </c>
      <c r="J235" s="1">
        <v>588</v>
      </c>
      <c r="K235" s="1">
        <v>37318</v>
      </c>
      <c r="L235" s="1">
        <v>20231</v>
      </c>
      <c r="M235" s="1">
        <v>8903</v>
      </c>
      <c r="N235" s="17">
        <f t="shared" si="11"/>
        <v>0.07720824477287332</v>
      </c>
      <c r="O235" s="1">
        <v>3.670393</v>
      </c>
      <c r="P235" s="1">
        <v>21097</v>
      </c>
      <c r="Q235" s="1">
        <v>31109</v>
      </c>
      <c r="R235" s="7">
        <v>3067</v>
      </c>
      <c r="S235" s="7">
        <v>3977</v>
      </c>
      <c r="T235" s="7">
        <f t="shared" si="7"/>
        <v>7044</v>
      </c>
      <c r="U235" s="7">
        <v>562</v>
      </c>
      <c r="V235" s="7">
        <v>2238</v>
      </c>
      <c r="W235" s="4" t="s">
        <v>144</v>
      </c>
      <c r="X235" s="4" t="s">
        <v>143</v>
      </c>
      <c r="Y235" s="7">
        <f>IF(X235="rub",R235,R235*'Курс доллара'!$F$5)</f>
        <v>3067</v>
      </c>
      <c r="Z235" s="7">
        <f>IF(X235="rub",S235,S235*'Курс доллара'!$F$5)</f>
        <v>3977</v>
      </c>
      <c r="AA235" s="7">
        <f>IF(X235="rub",T235,T235*'Курс доллара'!$F$5)</f>
        <v>7044</v>
      </c>
      <c r="AB235" s="7">
        <f>IF(X235="rub",U235,U235*'Курс доллара'!$C$5)</f>
        <v>562</v>
      </c>
      <c r="AC235" s="7">
        <f>IF(X235="rub",V235,V235*'Курс доллара'!$F$5)</f>
        <v>2238</v>
      </c>
      <c r="AD235" s="7" t="str">
        <f t="shared" si="8"/>
        <v>мсфо</v>
      </c>
      <c r="AE235" s="4" t="s">
        <v>143</v>
      </c>
    </row>
    <row r="236" spans="2:31" ht="12.75">
      <c r="B236" s="2" t="s">
        <v>58</v>
      </c>
      <c r="C236" s="1" t="s">
        <v>121</v>
      </c>
      <c r="D236" s="1">
        <v>2008</v>
      </c>
      <c r="E236" s="1">
        <v>73055562</v>
      </c>
      <c r="F236" s="1">
        <v>54156737</v>
      </c>
      <c r="G236" s="1">
        <v>557027000</v>
      </c>
      <c r="H236" s="1">
        <v>-671000000</v>
      </c>
      <c r="I236" s="1">
        <v>5518</v>
      </c>
      <c r="J236" s="1">
        <v>669</v>
      </c>
      <c r="K236" s="1">
        <v>38161</v>
      </c>
      <c r="L236" s="1">
        <v>21300</v>
      </c>
      <c r="M236" s="1">
        <v>7806</v>
      </c>
      <c r="N236" s="17">
        <f t="shared" si="11"/>
        <v>-0.03150234741784037</v>
      </c>
      <c r="O236" s="1">
        <v>-1.926364</v>
      </c>
      <c r="P236" s="1">
        <v>23322</v>
      </c>
      <c r="Q236" s="1">
        <v>30670</v>
      </c>
      <c r="R236" s="7">
        <v>3620</v>
      </c>
      <c r="S236" s="7">
        <v>2315</v>
      </c>
      <c r="T236" s="7">
        <f t="shared" si="7"/>
        <v>5935</v>
      </c>
      <c r="U236" s="7">
        <v>1541</v>
      </c>
      <c r="V236" s="7">
        <v>2202</v>
      </c>
      <c r="W236" s="4" t="s">
        <v>144</v>
      </c>
      <c r="X236" s="4" t="s">
        <v>143</v>
      </c>
      <c r="Y236" s="7">
        <f>IF(X236="rub",R236,R236*'Курс доллара'!$F$6)</f>
        <v>3620</v>
      </c>
      <c r="Z236" s="7">
        <f>IF(X236="rub",S236,S236*'Курс доллара'!$F$6)</f>
        <v>2315</v>
      </c>
      <c r="AA236" s="7">
        <f>IF(X236="rub",T236,T236*'Курс доллара'!$F$6)</f>
        <v>5935</v>
      </c>
      <c r="AB236" s="7">
        <f>IF(X236="rub",U236,U236*'Курс доллара'!$C$6)</f>
        <v>1541</v>
      </c>
      <c r="AC236" s="7">
        <f>IF(X236="rub",V236,V236*'Курс доллара'!$F$6)</f>
        <v>2202</v>
      </c>
      <c r="AD236" s="7" t="str">
        <f t="shared" si="8"/>
        <v>мсфо</v>
      </c>
      <c r="AE236" s="4" t="s">
        <v>143</v>
      </c>
    </row>
    <row r="237" spans="2:31" ht="12.75">
      <c r="B237" s="2" t="s">
        <v>58</v>
      </c>
      <c r="C237" s="1" t="s">
        <v>121</v>
      </c>
      <c r="D237" s="1">
        <v>2009</v>
      </c>
      <c r="E237" s="1">
        <v>276837567</v>
      </c>
      <c r="F237" s="1">
        <v>184563026</v>
      </c>
      <c r="G237" s="1">
        <v>184563026</v>
      </c>
      <c r="H237" s="1">
        <v>2256000000</v>
      </c>
      <c r="I237" s="1">
        <v>7635</v>
      </c>
      <c r="J237" s="1">
        <v>4518</v>
      </c>
      <c r="K237" s="1">
        <v>35182</v>
      </c>
      <c r="L237" s="1">
        <v>22220</v>
      </c>
      <c r="M237" s="1">
        <v>10674</v>
      </c>
      <c r="N237" s="17">
        <f t="shared" si="11"/>
        <v>0.10153015301530154</v>
      </c>
      <c r="O237" s="1">
        <v>4.630645</v>
      </c>
      <c r="P237" s="1">
        <v>18885</v>
      </c>
      <c r="Q237" s="1">
        <v>28990</v>
      </c>
      <c r="R237" s="7">
        <v>4087</v>
      </c>
      <c r="S237" s="7">
        <v>5640</v>
      </c>
      <c r="T237" s="7">
        <f t="shared" si="7"/>
        <v>9727</v>
      </c>
      <c r="U237" s="7">
        <v>598</v>
      </c>
      <c r="V237" s="7">
        <v>2612</v>
      </c>
      <c r="W237" s="4" t="s">
        <v>144</v>
      </c>
      <c r="X237" s="4" t="s">
        <v>143</v>
      </c>
      <c r="Y237" s="7">
        <f>IF(X237="rub",R237,R237*'Курс доллара'!$F$7)</f>
        <v>4087</v>
      </c>
      <c r="Z237" s="7">
        <f>IF(X237="rub",S237,S237*'Курс доллара'!$F$7)</f>
        <v>5640</v>
      </c>
      <c r="AA237" s="7">
        <f>IF(X237="rub",T237,T237*'Курс доллара'!$F$7)</f>
        <v>9727</v>
      </c>
      <c r="AB237" s="7">
        <f>IF(X237="rub",U237,U237*'Курс доллара'!$C$7)</f>
        <v>598</v>
      </c>
      <c r="AC237" s="7">
        <f>IF(X237="rub",V237,V237*'Курс доллара'!$F$7)</f>
        <v>2612</v>
      </c>
      <c r="AD237" s="7" t="str">
        <f t="shared" si="8"/>
        <v>мсфо</v>
      </c>
      <c r="AE237" s="4" t="s">
        <v>143</v>
      </c>
    </row>
    <row r="238" spans="2:31" ht="12.75">
      <c r="B238" s="2" t="s">
        <v>58</v>
      </c>
      <c r="C238" s="1" t="s">
        <v>121</v>
      </c>
      <c r="D238" s="1">
        <v>2010</v>
      </c>
      <c r="E238" s="1">
        <v>1026000000</v>
      </c>
      <c r="F238" s="1"/>
      <c r="G238" s="1"/>
      <c r="H238" s="1">
        <v>1902000000</v>
      </c>
      <c r="I238" s="1">
        <f>8833-269-388</f>
        <v>8176</v>
      </c>
      <c r="J238" s="1"/>
      <c r="K238" s="1">
        <v>36142</v>
      </c>
      <c r="L238" s="1">
        <v>23502</v>
      </c>
      <c r="M238" s="1">
        <v>11215</v>
      </c>
      <c r="N238" s="17">
        <f t="shared" si="11"/>
        <v>0.0809292826142456</v>
      </c>
      <c r="O238" s="1"/>
      <c r="P238" s="1">
        <f>11501+6899</f>
        <v>18400</v>
      </c>
      <c r="Q238" s="1">
        <v>30029</v>
      </c>
      <c r="R238" s="7">
        <v>4590</v>
      </c>
      <c r="S238" s="7">
        <v>3898</v>
      </c>
      <c r="T238" s="7">
        <f t="shared" si="7"/>
        <v>8488</v>
      </c>
      <c r="U238" s="7">
        <v>462</v>
      </c>
      <c r="V238" s="7">
        <v>1732</v>
      </c>
      <c r="W238" s="4" t="s">
        <v>144</v>
      </c>
      <c r="X238" s="4" t="s">
        <v>143</v>
      </c>
      <c r="Y238" s="7">
        <f>IF(X238="rub",R238,R238*'Курс доллара'!$F$8)</f>
        <v>4590</v>
      </c>
      <c r="Z238" s="7">
        <f>IF(X238="rub",S238,S238*'Курс доллара'!$F$8)</f>
        <v>3898</v>
      </c>
      <c r="AA238" s="7">
        <f>IF(X238="rub",T238,T238*'Курс доллара'!$F$8)</f>
        <v>8488</v>
      </c>
      <c r="AB238" s="7">
        <f>IF(X238="rub",U238,U238*'Курс доллара'!$C$8)</f>
        <v>462</v>
      </c>
      <c r="AC238" s="7">
        <f>IF(X238="rub",V238,V238*'Курс доллара'!$F$8)</f>
        <v>1732</v>
      </c>
      <c r="AD238" s="7" t="str">
        <f>W238</f>
        <v>мсфо</v>
      </c>
      <c r="AE238" s="4" t="s">
        <v>143</v>
      </c>
    </row>
  </sheetData>
  <sheetProtection/>
  <mergeCells count="4">
    <mergeCell ref="E1:H1"/>
    <mergeCell ref="I1:Q1"/>
    <mergeCell ref="R1:X1"/>
    <mergeCell ref="Y1:AE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8"/>
  <sheetViews>
    <sheetView zoomScalePageLayoutView="0" workbookViewId="0" topLeftCell="A1">
      <selection activeCell="F9" sqref="F9"/>
    </sheetView>
  </sheetViews>
  <sheetFormatPr defaultColWidth="9.140625" defaultRowHeight="12.75"/>
  <cols>
    <col min="2" max="2" width="10.140625" style="0" bestFit="1" customWidth="1"/>
    <col min="3" max="3" width="11.7109375" style="0" customWidth="1"/>
    <col min="4" max="4" width="11.57421875" style="0" customWidth="1"/>
    <col min="5" max="5" width="12.421875" style="0" customWidth="1"/>
    <col min="6" max="6" width="13.7109375" style="0" customWidth="1"/>
  </cols>
  <sheetData>
    <row r="2" spans="2:6" ht="27" customHeight="1">
      <c r="B2" s="12" t="s">
        <v>147</v>
      </c>
      <c r="C2" s="14" t="s">
        <v>149</v>
      </c>
      <c r="E2" s="12" t="s">
        <v>148</v>
      </c>
      <c r="F2" s="14" t="s">
        <v>150</v>
      </c>
    </row>
    <row r="3" spans="2:3" ht="12.75">
      <c r="B3" s="11">
        <v>38717</v>
      </c>
      <c r="C3">
        <v>28.7825</v>
      </c>
    </row>
    <row r="4" spans="2:6" ht="12.75">
      <c r="B4" s="11">
        <v>39082</v>
      </c>
      <c r="C4">
        <v>26.3311</v>
      </c>
      <c r="E4">
        <v>2006</v>
      </c>
      <c r="F4" s="13">
        <f>(C3+C4)/2</f>
        <v>27.5568</v>
      </c>
    </row>
    <row r="5" spans="2:6" ht="12.75">
      <c r="B5" s="11">
        <v>39447</v>
      </c>
      <c r="C5">
        <v>24.5462</v>
      </c>
      <c r="E5">
        <v>2007</v>
      </c>
      <c r="F5" s="13">
        <f>(C4+C5)/2</f>
        <v>25.43865</v>
      </c>
    </row>
    <row r="6" spans="2:6" ht="12.75">
      <c r="B6" s="11">
        <v>39813</v>
      </c>
      <c r="C6">
        <v>29.3804</v>
      </c>
      <c r="E6">
        <v>2008</v>
      </c>
      <c r="F6" s="13">
        <f>(C5+C6)/2</f>
        <v>26.9633</v>
      </c>
    </row>
    <row r="7" spans="2:6" ht="12.75">
      <c r="B7" s="11">
        <v>40178</v>
      </c>
      <c r="C7">
        <v>30.2442</v>
      </c>
      <c r="E7">
        <v>2009</v>
      </c>
      <c r="F7" s="13">
        <f>(C6+C7)/2</f>
        <v>29.8123</v>
      </c>
    </row>
    <row r="8" spans="2:6" ht="12.75">
      <c r="B8" s="11">
        <v>40543</v>
      </c>
      <c r="C8">
        <v>30.4769</v>
      </c>
      <c r="E8">
        <v>2010</v>
      </c>
      <c r="F8" s="13">
        <f>(C7+C8)/2</f>
        <v>30.36055</v>
      </c>
    </row>
  </sheetData>
  <sheetProtection/>
  <printOptions/>
  <pageMargins left="0.7" right="0.7" top="0.75" bottom="0.75" header="0.3" footer="0.3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TVSokolova</cp:lastModifiedBy>
  <dcterms:created xsi:type="dcterms:W3CDTF">1996-10-08T23:32:33Z</dcterms:created>
  <dcterms:modified xsi:type="dcterms:W3CDTF">2012-01-25T16:56:05Z</dcterms:modified>
  <cp:category/>
  <cp:version/>
  <cp:contentType/>
  <cp:contentStatus/>
</cp:coreProperties>
</file>